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210" activeTab="0"/>
  </bookViews>
  <sheets>
    <sheet name="Cap programme with financing" sheetId="1" r:id="rId1"/>
  </sheets>
  <externalReferences>
    <externalReference r:id="rId4"/>
    <externalReference r:id="rId5"/>
  </externalReferences>
  <definedNames>
    <definedName name="App_c">#REF!</definedName>
    <definedName name="CP_Bunit">#REF!</definedName>
    <definedName name="CP_Dir">#REF!</definedName>
    <definedName name="print">#REF!</definedName>
    <definedName name="_xlnm.Print_Area" localSheetId="0">'Cap programme with financing'!$A$3:$K$216</definedName>
    <definedName name="_xlnm.Print_Titles" localSheetId="0">'Cap programme with financing'!$5:$5</definedName>
    <definedName name="UNREL_0001">#REF!</definedName>
    <definedName name="UNREL_9899">#REF!</definedName>
    <definedName name="UNREL_9900">#REF!</definedName>
    <definedName name="Z_1D56C142_8F10_4282_A2D7_11C8BEECFA7C_.wvu.Cols" localSheetId="0" hidden="1">'Cap programme with financing'!#REF!,'Cap programme with financing'!#REF!</definedName>
    <definedName name="Z_1D56C142_8F10_4282_A2D7_11C8BEECFA7C_.wvu.PrintArea" localSheetId="0" hidden="1">'Cap programme with financing'!$A$183:$K$214</definedName>
    <definedName name="Z_1D56C142_8F10_4282_A2D7_11C8BEECFA7C_.wvu.Rows" localSheetId="0" hidden="1">'Cap programme with financing'!#REF!,'Cap programme with financing'!#REF!,'Cap programme with financing'!#REF!</definedName>
    <definedName name="Z_592F7E7D_DD55_4099_887D_C6433E996871_.wvu.Cols" localSheetId="0" hidden="1">'Cap programme with financing'!#REF!,'Cap programme with financing'!#REF!</definedName>
    <definedName name="Z_592F7E7D_DD55_4099_887D_C6433E996871_.wvu.Rows" localSheetId="0" hidden="1">'Cap programme with financing'!$11:$11,'Cap programme with financing'!#REF!,'Cap programme with financing'!#REF!,'Cap programme with financing'!#REF!,'Cap programme with financing'!$81:$81,'Cap programme with financing'!$124:$124,'Cap programme with financing'!$137:$137,'Cap programme with financing'!$142:$144,'Cap programme with financing'!$147:$147,'Cap programme with financing'!$138:$138,'Cap programme with financing'!$167:$167,'Cap programme with financing'!$168:$168,'Cap programme with financing'!$199:$199,'Cap programme with financing'!$202:$202,'Cap programme with financing'!$204:$204,'Cap programme with financing'!$208:$209</definedName>
    <definedName name="Z_699B561D_BBF8_44A2_894A_96A1A1649770_.wvu.FilterData" localSheetId="0" hidden="1">'Cap programme with financing'!$A$5:$K$5</definedName>
    <definedName name="Z_699B561D_BBF8_44A2_894A_96A1A1649770_.wvu.PrintArea" localSheetId="0" hidden="1">'Cap programme with financing'!$A$3:$K$217</definedName>
    <definedName name="Z_699B561D_BBF8_44A2_894A_96A1A1649770_.wvu.PrintTitles" localSheetId="0" hidden="1">'Cap programme with financing'!$3:$5</definedName>
    <definedName name="Z_D0A83043_9DE0_477F_945F_7F02AA4D65BF_.wvu.Cols" localSheetId="0" hidden="1">'Cap programme with financing'!#REF!</definedName>
    <definedName name="Z_D0A83043_9DE0_477F_945F_7F02AA4D65BF_.wvu.Rows" localSheetId="0" hidden="1">'Cap programme with financing'!#REF!,'Cap programme with financing'!#REF!,'Cap programme with financing'!#REF!</definedName>
  </definedNames>
  <calcPr fullCalcOnLoad="1"/>
</workbook>
</file>

<file path=xl/comments1.xml><?xml version="1.0" encoding="utf-8"?>
<comments xmlns="http://schemas.openxmlformats.org/spreadsheetml/2006/main">
  <authors>
    <author>lbarker</author>
    <author>jmarks</author>
  </authors>
  <commentList>
    <comment ref="B171" authorId="0">
      <text>
        <r>
          <rPr>
            <b/>
            <sz val="8"/>
            <rFont val="Tahoma"/>
            <family val="0"/>
          </rPr>
          <t>lbarker:</t>
        </r>
        <r>
          <rPr>
            <sz val="8"/>
            <rFont val="Tahoma"/>
            <family val="0"/>
          </rPr>
          <t xml:space="preserve">
Spilt between T2266 - £167,500 and R0005 - 140,5000
</t>
        </r>
      </text>
    </comment>
    <comment ref="I165" authorId="1">
      <text>
        <r>
          <rPr>
            <b/>
            <sz val="8"/>
            <rFont val="Tahoma"/>
            <family val="0"/>
          </rPr>
          <t>jmarks:</t>
        </r>
        <r>
          <rPr>
            <sz val="8"/>
            <rFont val="Tahoma"/>
            <family val="0"/>
          </rPr>
          <t xml:space="preserve">
This budget was not needed. Duplicate Bid</t>
        </r>
      </text>
    </comment>
  </commentList>
</comments>
</file>

<file path=xl/sharedStrings.xml><?xml version="1.0" encoding="utf-8"?>
<sst xmlns="http://schemas.openxmlformats.org/spreadsheetml/2006/main" count="677" uniqueCount="312">
  <si>
    <t xml:space="preserve"> Capital Budget and Spend as at 30th September, 2011</t>
  </si>
  <si>
    <t>Capital Scheme</t>
  </si>
  <si>
    <t>Approved Budget 2011/12</t>
  </si>
  <si>
    <t xml:space="preserve">Latest Budget 2011/12  </t>
  </si>
  <si>
    <t>Spend as at 30 Sept 2011</t>
  </si>
  <si>
    <t>% Spend Against Latest Budget</t>
  </si>
  <si>
    <t>Projected Outturn</t>
  </si>
  <si>
    <t>Outturn Variance to Latest Budget</t>
  </si>
  <si>
    <t>Outurn Variance due to Slippage</t>
  </si>
  <si>
    <t>Outtrun variance due to Over/ Underspend</t>
  </si>
  <si>
    <t>Officer Responsible</t>
  </si>
  <si>
    <t>Comments</t>
  </si>
  <si>
    <t>A1500 Paradise Street - work of art</t>
  </si>
  <si>
    <t>L Freeman</t>
  </si>
  <si>
    <t>S106 Funding - Work commissioned</t>
  </si>
  <si>
    <t>pp</t>
  </si>
  <si>
    <t>F0010 Gloucester Green Safety Measures</t>
  </si>
  <si>
    <t>To be closed</t>
  </si>
  <si>
    <t>Likely coding error - Cost centre to be closed</t>
  </si>
  <si>
    <t>F1323 Bridge Over Fiddlers Stream</t>
  </si>
  <si>
    <t>Scheme to be  moved to 2012/13</t>
  </si>
  <si>
    <t>F1330 Work at Donnington Middle School</t>
  </si>
  <si>
    <t>S106 Funding</t>
  </si>
  <si>
    <t>F1332 West End Contributions</t>
  </si>
  <si>
    <t>S106 To be held until project commences</t>
  </si>
  <si>
    <t>F6015 Slade Area Public Work of Art</t>
  </si>
  <si>
    <t>F7005 Oxford Road /Littlemore improvement</t>
  </si>
  <si>
    <t>F7006 Work of art littlemore</t>
  </si>
  <si>
    <t>NEW Landscaping Work Lamarsh Road</t>
  </si>
  <si>
    <t>New S106 Funded Scheme to be Approved</t>
  </si>
  <si>
    <t>NEW CCTV Gipsy Lane Campus</t>
  </si>
  <si>
    <t>Karen Crossan</t>
  </si>
  <si>
    <t>M5002 Refurbishment of Bonn Square</t>
  </si>
  <si>
    <t>M Crofton-Briggs</t>
  </si>
  <si>
    <t>Project Completed - Accrual from 2010/11</t>
  </si>
  <si>
    <t>M5014 West End Partnership (Growth Points Grant)</t>
  </si>
  <si>
    <t>M5016 Housing Delivery (Funded via New Growth Points)</t>
  </si>
  <si>
    <t>NEW Land at Barton (Funded via New Growth Points)</t>
  </si>
  <si>
    <t>Steve Sprason</t>
  </si>
  <si>
    <t>NGP funding will be diverted to other Capital Projects to allow  reserves to fund the revenue cost of Barton project for 2011/12</t>
  </si>
  <si>
    <t>City Development</t>
  </si>
  <si>
    <t>E3511 Renovation Grants</t>
  </si>
  <si>
    <t>J Exeley</t>
  </si>
  <si>
    <t>Additional budget is 10/11 slippage - however still project to spend to budget</t>
  </si>
  <si>
    <t>E3521 Disabled Facilities Grants</t>
  </si>
  <si>
    <t>Additional budget is increase in funding from DCLG by £55k - project to spend to budget</t>
  </si>
  <si>
    <t>Environmental Development</t>
  </si>
  <si>
    <t>F1096 West Oxford Cylce Route</t>
  </si>
  <si>
    <t>S106 Need to know who is responsible for completing these projects</t>
  </si>
  <si>
    <t>F5008 West Oxford Cylce Route</t>
  </si>
  <si>
    <t>F5010 Marsh Lane to Stockleys Rd cycle link</t>
  </si>
  <si>
    <t>F5011 Barton Cycle Link</t>
  </si>
  <si>
    <t>F6013 Bullingdon Community Centre - provision or enhancement of facilities</t>
  </si>
  <si>
    <t>A Cristofoli</t>
  </si>
  <si>
    <t>On going S106 Funding due</t>
  </si>
  <si>
    <t>F6014 Rose Hill provision or enhancement of community facilities</t>
  </si>
  <si>
    <t>S106 Funding - could be used for other schemes but must be in Rosehill area</t>
  </si>
  <si>
    <t>F6016 Jericho Community Centre - New Building</t>
  </si>
  <si>
    <t>Investigate -  £100K budget on Agresso but project is not in Approved Budget</t>
  </si>
  <si>
    <t>F7007 Woodfarm/headington Community Centre- Improvements</t>
  </si>
  <si>
    <t>S106 Funding - details of project yet to be agreed</t>
  </si>
  <si>
    <t>G3013 Diamond Place car park footpath extension</t>
  </si>
  <si>
    <t>Local Area Committee project</t>
  </si>
  <si>
    <t>G3014 East Oxford Community Association Improvements</t>
  </si>
  <si>
    <t>East Oxford Parliament Project</t>
  </si>
  <si>
    <t>G4006 Florence Park CC Kitchen</t>
  </si>
  <si>
    <t>Completed 2010/11 awaiting final payments</t>
  </si>
  <si>
    <t>G6010 Mount Place Square Refurbishment</t>
  </si>
  <si>
    <t>Completed 2010/11</t>
  </si>
  <si>
    <t>G6011 St Lukes Church Hall Extension</t>
  </si>
  <si>
    <t>CSW Area Committee project - awaiting matched funding</t>
  </si>
  <si>
    <t>G6012 South Oxford Community Centre Main Hall Replacement</t>
  </si>
  <si>
    <t>CSW Area Committee project</t>
  </si>
  <si>
    <t>M5001 Estate Shops Security Measures</t>
  </si>
  <si>
    <t>S Northey</t>
  </si>
  <si>
    <t>Projected completed 2010/11</t>
  </si>
  <si>
    <t>M5012 Rose Hill Redevelopment</t>
  </si>
  <si>
    <t>£50K Grant to OCHA coded to project - invoices to be raised by S Northey to offset spend</t>
  </si>
  <si>
    <t>M5013 Affordable Housing - Garage Sites</t>
  </si>
  <si>
    <t>M5018 Wood Farm Community Building Project</t>
  </si>
  <si>
    <t>Members to bid. Preliminary costs to be charged to revenue. May see no Capital costs this year</t>
  </si>
  <si>
    <t>Z3718 St Lukes Church - community/facilities</t>
  </si>
  <si>
    <t>? Additional S106 funding for G6011</t>
  </si>
  <si>
    <t>M5015 Old Fire Station</t>
  </si>
  <si>
    <t>J Bellenger</t>
  </si>
  <si>
    <t>The additional costs of £300K may be recoverable via bond payment. This forecast is a worst case scenario</t>
  </si>
  <si>
    <t>Communities and Housing</t>
  </si>
  <si>
    <t>A4800 Barton Pool</t>
  </si>
  <si>
    <t>I Brooke/ K Reynolds</t>
  </si>
  <si>
    <t xml:space="preserve">This phase of work completed </t>
  </si>
  <si>
    <t>A4801 BBL Pool</t>
  </si>
  <si>
    <t>A4802 BBL LC</t>
  </si>
  <si>
    <t>A4803 Ferry LC</t>
  </si>
  <si>
    <t>A4804 Hinksey Pool</t>
  </si>
  <si>
    <t>A4805 Temple Cowley Pool</t>
  </si>
  <si>
    <t>A4806 Ice Rink</t>
  </si>
  <si>
    <t>20K Retention expected</t>
  </si>
  <si>
    <t>A4807 Barton Pool Improvements</t>
  </si>
  <si>
    <t>A4809 Ferry Sports Centre Improvements</t>
  </si>
  <si>
    <t>Z7500 Building Improvements (General Fund)</t>
  </si>
  <si>
    <t>Allocate to A4800-A4806.</t>
  </si>
  <si>
    <t>A4808 Blackbird Leys LC Improvements</t>
  </si>
  <si>
    <t>This budget to be reallocated - It was set before present understanding of Fusion's repair obligations were known</t>
  </si>
  <si>
    <t>A4812 Building Improvements (GF Leisure)</t>
  </si>
  <si>
    <t>Various works across all Leisure Centres</t>
  </si>
  <si>
    <t>A4813 Hinksey Pools main pool liner</t>
  </si>
  <si>
    <t>Costs to be transferred to A4812 - misposted</t>
  </si>
  <si>
    <t>A4814 Leisure Centre substantive repairs</t>
  </si>
  <si>
    <t>Expected under spend at year end -  Budget was set before present understanding of Fusion's repair obligations were known</t>
  </si>
  <si>
    <t>B0048 Leisure ~ Cemeteries</t>
  </si>
  <si>
    <t>Programmed for future years</t>
  </si>
  <si>
    <t>B0049 Leisure ~ Countryside</t>
  </si>
  <si>
    <t>B0050 Leisure ~ Depots</t>
  </si>
  <si>
    <t>Expected completion by March 2012</t>
  </si>
  <si>
    <t>B0051 Leisure ~ Pavilions</t>
  </si>
  <si>
    <t>B0026 Parks &amp; cemetery stone wall &amp; path improvements</t>
  </si>
  <si>
    <t>Expected completion November 2011</t>
  </si>
  <si>
    <t>B0030 Consolidation of Parks depot from South Park to Cutteslowe</t>
  </si>
  <si>
    <t>Project to tender October 2011, expected completion December 2011</t>
  </si>
  <si>
    <t>B0027 Covered Market - Improvements &amp; Upgrade to Roof</t>
  </si>
  <si>
    <t>J Bellenger/ M Stewart</t>
  </si>
  <si>
    <t>Expected to be on budget for 2011/12</t>
  </si>
  <si>
    <t>B0028 Covered Market - New Roof Structures to High St Entrances</t>
  </si>
  <si>
    <t>B1004 - Covered Market repairs/upgrading</t>
  </si>
  <si>
    <t>Budget b/f from 2010/11 likely to slip to future years</t>
  </si>
  <si>
    <t>B0010 Covered Market signage improvements</t>
  </si>
  <si>
    <t>I Gordon</t>
  </si>
  <si>
    <t>Likely slippage to 2012/13</t>
  </si>
  <si>
    <t>B0036 Investment ~ Covered Market</t>
  </si>
  <si>
    <t>B0053 Public Toilets</t>
  </si>
  <si>
    <t>Expected completion October 2011</t>
  </si>
  <si>
    <t>B0031 Miscellaneous Admin Buildings</t>
  </si>
  <si>
    <t>K Reynolds</t>
  </si>
  <si>
    <t>Lift Alarms - Expected completion December 2011</t>
  </si>
  <si>
    <t>B0035 Miscellaneous Civic Properties</t>
  </si>
  <si>
    <t>I Gordon/ NSmith</t>
  </si>
  <si>
    <t>Carfax Tower expected completion October 2011, New Inn Court Yard February 2012</t>
  </si>
  <si>
    <t>B0037 Car Parks</t>
  </si>
  <si>
    <t>B0038 Direct Service Depots</t>
  </si>
  <si>
    <t>B0052 Miscellaneous Properties</t>
  </si>
  <si>
    <t>B0032 Bury Knowle House</t>
  </si>
  <si>
    <t>Work commenced September 2011, completion expected December 2011</t>
  </si>
  <si>
    <t>B1006 Bury Knowle external repair/decoration</t>
  </si>
  <si>
    <t>Budget b/f from 2010/11 -To be vired to B0032</t>
  </si>
  <si>
    <t>B0012 BBL CC - wiring Improvements</t>
  </si>
  <si>
    <t>Completed May 2011</t>
  </si>
  <si>
    <t>B0015 South Oxford CC - Roof refurbishments</t>
  </si>
  <si>
    <t>Completed last year</t>
  </si>
  <si>
    <t>B9203 Community Centres - Water Bylaws and Legionella</t>
  </si>
  <si>
    <t>B9207 Northway Centre Demolition</t>
  </si>
  <si>
    <t>B0022 DDA East Oxford Community Centre Lift</t>
  </si>
  <si>
    <t>Project to tender December 2011, expected completion March 2012</t>
  </si>
  <si>
    <t>B0033 Community Centres</t>
  </si>
  <si>
    <t>Forecast for £60K invoiced works plus work in progress and retentions</t>
  </si>
  <si>
    <t>B0034 Rose Hill Community Centre</t>
  </si>
  <si>
    <t>Project to tender January 2012, costs of £50K expected by February 2012</t>
  </si>
  <si>
    <t>B0003 Roof Repairs &amp; Ext Refur 44-46 George St</t>
  </si>
  <si>
    <t>Not in 2011/12 Work plan</t>
  </si>
  <si>
    <t>B0043 Investment ~ George Street</t>
  </si>
  <si>
    <t>B0029 33-35 George Street - Upgrade to Lettable Condition</t>
  </si>
  <si>
    <t>Tenant to carry out repairs - funded by rent free period - saving to Capital Programme</t>
  </si>
  <si>
    <t>B0040 Investment ~ Broad Street</t>
  </si>
  <si>
    <t>B1001 Blackwells Music Shop repairs</t>
  </si>
  <si>
    <t>Work most likely to be obligation of tenant - saving to Capital Programme</t>
  </si>
  <si>
    <t>B0039 Houses and Lodges</t>
  </si>
  <si>
    <t>B0041 Investment - Misc City Centre Properties</t>
  </si>
  <si>
    <t>B0042 Investment ~ Gloucester Green</t>
  </si>
  <si>
    <t>B0044 Investment ~ Outer City</t>
  </si>
  <si>
    <t>B0045 Investment ~ St. Michael’s Street</t>
  </si>
  <si>
    <t>Expect to slip to 2012/13</t>
  </si>
  <si>
    <t>B0046 Investment ~ Ship Street</t>
  </si>
  <si>
    <t>B0047 Investment ~ Turl Street</t>
  </si>
  <si>
    <t>B0054 Town Hall</t>
  </si>
  <si>
    <t>Expected completion by March 2011 - budget can be b/f from 2012/13</t>
  </si>
  <si>
    <t>B1002 -Town Hall PA system upgrades</t>
  </si>
  <si>
    <t>Expected completion by March 2011</t>
  </si>
  <si>
    <t>B1003 - Town Hall pigeon proofing</t>
  </si>
  <si>
    <t>B1005 Town Hall</t>
  </si>
  <si>
    <t xml:space="preserve">B0056 City Centre Office Security </t>
  </si>
  <si>
    <t>Design and Tender complete in February 2012, work to commence February 2012</t>
  </si>
  <si>
    <t>NEW- Town Hall fire escape (Blue Boar Street)</t>
  </si>
  <si>
    <t>No budget for this essential work - could be funded from savings in Capital Programme</t>
  </si>
  <si>
    <t>Q2000 Offices for the Future</t>
  </si>
  <si>
    <t>M Westmoreland</t>
  </si>
  <si>
    <t>Funds to be allocated (Future Years)</t>
  </si>
  <si>
    <t>Extra resource in place from July to progress Capital Programme</t>
  </si>
  <si>
    <t>Corporate Assets</t>
  </si>
  <si>
    <t>C3041 New server for telephone system</t>
  </si>
  <si>
    <t>H Bishop</t>
  </si>
  <si>
    <t>C3042 Customer First Programme</t>
  </si>
  <si>
    <t>Customer Services</t>
  </si>
  <si>
    <t>A1300 Playground Refurbishment</t>
  </si>
  <si>
    <t>I Brooke</t>
  </si>
  <si>
    <t>Project Manager projects 2 sites will slip into 12/13 -  Pegasus Rd + Florence Park (est. £250k)</t>
  </si>
  <si>
    <t>A1301 Play Barton</t>
  </si>
  <si>
    <t>All to be spent by year end</t>
  </si>
  <si>
    <t>NEW Play Barton</t>
  </si>
  <si>
    <t>Duplicate bid (to be deleted) Capital Programme already caters for Scheme in A1301</t>
  </si>
  <si>
    <t>A2808 Replacement Sports Facilities - Cowley Marsh</t>
  </si>
  <si>
    <t>A3125 Milham Ford Park land and Recreational Facilities</t>
  </si>
  <si>
    <t>A3127 Girdlestone Rd improvement to public space</t>
  </si>
  <si>
    <t>A3129 Donnington Recreation Ground Improvements</t>
  </si>
  <si>
    <t>A3120 Florence Park Public Open Space/children Play Area</t>
  </si>
  <si>
    <t>Consolidate these budgets to fund Barton Pavilion works</t>
  </si>
  <si>
    <t>A3124 Barton Village Pavillion</t>
  </si>
  <si>
    <t>A3115 Barton Village Recreation Ground - Improvements</t>
  </si>
  <si>
    <t>Consolidated with A3124</t>
  </si>
  <si>
    <t>Z3009 Contribution to Barton Pavillion</t>
  </si>
  <si>
    <t>A4810 New Build Competion Pool</t>
  </si>
  <si>
    <t>Work will not commence until January 2012 at earliest</t>
  </si>
  <si>
    <t>F7009 Recreation/Sports - City of Oxford</t>
  </si>
  <si>
    <t>S106 Funding to add to New Build Competition Pool</t>
  </si>
  <si>
    <t>A1161 Frys Hill Leisure Centre</t>
  </si>
  <si>
    <t>F6002 Temple Cowley Pool Provision or enhancement of facilities</t>
  </si>
  <si>
    <t>F7003 Temple Cowley/Blackbird Leys - improvements to indoor</t>
  </si>
  <si>
    <t>F7010 Slade Area - Indoor/Outdoor sprots facilities</t>
  </si>
  <si>
    <t>F6001 Ferry Centre - provision or enhancement of  facilities</t>
  </si>
  <si>
    <t>S106 Funding - need to know who are the project managers</t>
  </si>
  <si>
    <t>F6003 Barton Pool - Provision of indoor sports facilities</t>
  </si>
  <si>
    <t>F6004 St Christophers Place - enhancement of play area</t>
  </si>
  <si>
    <t>F6005 Barracks lane Allotments - enhancement of facilities</t>
  </si>
  <si>
    <t>F6006 Sunnymead Park - enhancement of play area facilities</t>
  </si>
  <si>
    <t>F6009 Town Furze Allotments - enhancement of facilities</t>
  </si>
  <si>
    <t>F6010 Dene Road Play Area - enhancement of facilities at dene road or bullingdon</t>
  </si>
  <si>
    <t>F7001 Cuddesdon Way -relocation of street sports site</t>
  </si>
  <si>
    <t>F7002 Margaret Road Recreation Ground - Improvments</t>
  </si>
  <si>
    <t>G1013 Dawson Street Gardens</t>
  </si>
  <si>
    <t>East Area Parliament Project - Budget on Agresso but not Approved</t>
  </si>
  <si>
    <t>G3015 NE Marston Croft Road Recreation Ground</t>
  </si>
  <si>
    <t>Joint project with County Council - awaiting start date  - Budget on Agresso but not Approved</t>
  </si>
  <si>
    <t>G3016 Peat Moors all weather pitch</t>
  </si>
  <si>
    <t>Cowley Area Committee Project - Budget on Agresso but not Approved</t>
  </si>
  <si>
    <t>Z3008 Contribution to Skate Park</t>
  </si>
  <si>
    <t>Additional funding to be allocated</t>
  </si>
  <si>
    <t>Z3010 Rosehill/Iffley Play Sites</t>
  </si>
  <si>
    <t>links to Community Housing Scheme F6014 Rose Hill Improvements - assumed to be spent</t>
  </si>
  <si>
    <t>Z8009 Bury Knowle Park - Improvements</t>
  </si>
  <si>
    <t>NEW Develop new burial space</t>
  </si>
  <si>
    <t>S106 Bids - Work not yet started</t>
  </si>
  <si>
    <t>F7014 Ice Rink improvments of facilities</t>
  </si>
  <si>
    <t>NEW North/Jericho Area - Provision of indoor sport</t>
  </si>
  <si>
    <t>NEW Oxrad/Ferry indoor sports</t>
  </si>
  <si>
    <t>F7015 Florence park Improvements</t>
  </si>
  <si>
    <t>F7016 Herschel Crescent Ground Improvements</t>
  </si>
  <si>
    <t>F7013 Rose Hill Play Area Improvements</t>
  </si>
  <si>
    <t>F7012 Rose Hill Recreation Ground Improvements</t>
  </si>
  <si>
    <t>F7011 Rose Hill Work of Art</t>
  </si>
  <si>
    <t>City Leisure</t>
  </si>
  <si>
    <t>F0011 Pay &amp; Display Parking in the Car Parks</t>
  </si>
  <si>
    <t>R Summer/ J Munro</t>
  </si>
  <si>
    <t xml:space="preserve"> £92K for Parking in Parks Machines which should have been rolled forward for 2010-11 as agreed with NK</t>
  </si>
  <si>
    <t>R0005 MT Vehicles/Plant Replacement Prog.</t>
  </si>
  <si>
    <t>P Einon</t>
  </si>
  <si>
    <t>Replacement Programme on track at present.</t>
  </si>
  <si>
    <t>T2266 Purchase of Brown Bins Waste Recycling</t>
  </si>
  <si>
    <t>P Dunsdon</t>
  </si>
  <si>
    <t>Over Budget due to success of scheme</t>
  </si>
  <si>
    <t>NEW Purchase of two hand operated street sweepers</t>
  </si>
  <si>
    <t>Received in May 2011 paid in April 2011 in Cost Centre R00005</t>
  </si>
  <si>
    <t>NEW Purchase of two vehicles for garden waste collection</t>
  </si>
  <si>
    <t>One Large RCV to be purchased rather than Two New Food Waste Vehicles due to the success of the Garden Waste Scheme</t>
  </si>
  <si>
    <t>NEW Purchase of ANPR for use in car park enforcement</t>
  </si>
  <si>
    <t>To be spent in next three months</t>
  </si>
  <si>
    <t>Direct Services</t>
  </si>
  <si>
    <t>C3039 ICT Infrastructure</t>
  </si>
  <si>
    <t>A Orchard</t>
  </si>
  <si>
    <t>There is a large accrual for £989K - this would be payment due to County Council for ICT Equipment. Needs to be settled</t>
  </si>
  <si>
    <t>NEW ICT Development</t>
  </si>
  <si>
    <t>Business Transformation</t>
  </si>
  <si>
    <t>GF Total</t>
  </si>
  <si>
    <t>N6380 Windows 05/06</t>
  </si>
  <si>
    <t>C Pyle</t>
  </si>
  <si>
    <t>N6384 Foresters Towers</t>
  </si>
  <si>
    <t>N6385 Adaptations for disabled</t>
  </si>
  <si>
    <t>SCM, GSR and Fergal are currently working on extensions, reports are been written for 5 more properties that need specialist work</t>
  </si>
  <si>
    <t>Decent Homes</t>
  </si>
  <si>
    <t>N6361 Kitchens &amp; Bathrooms - MRA 04/05</t>
  </si>
  <si>
    <t>N6386 Structural</t>
  </si>
  <si>
    <t>N6387 Controlled Entry</t>
  </si>
  <si>
    <t>current contract is nearly finished.  New contract, tenders expected back early Oct 11</t>
  </si>
  <si>
    <t>N6388 Major Voids</t>
  </si>
  <si>
    <t>N6389 Damp-proof works (K&amp;B)</t>
  </si>
  <si>
    <t>N6390 Kitchens &amp; Bathrooms</t>
  </si>
  <si>
    <t xml:space="preserve">Reduction in programme to fund anticipated increase in replacement heating systems. </t>
  </si>
  <si>
    <t>N6391 Heating</t>
  </si>
  <si>
    <t xml:space="preserve">Additional replacement systems needed, funded from reduction in Kitchens/Bathrooms </t>
  </si>
  <si>
    <t>N6392 Roofing</t>
  </si>
  <si>
    <t>new contract is going out to tender in Oct 11 due to start work in Jan 12</t>
  </si>
  <si>
    <t>N6393 External Doors</t>
  </si>
  <si>
    <t>New contract is going out to tender in Oct 11</t>
  </si>
  <si>
    <t>N6394 Windows</t>
  </si>
  <si>
    <t>N6395 Electrics</t>
  </si>
  <si>
    <t>N6396 Sheltered Blk, George Moore</t>
  </si>
  <si>
    <t>N6426 BISF´s</t>
  </si>
  <si>
    <t>N6427 Shops</t>
  </si>
  <si>
    <t>N6430 Evenlode tower</t>
  </si>
  <si>
    <t>N6431 Windrush Tower</t>
  </si>
  <si>
    <t>N6432 Plowman Tower</t>
  </si>
  <si>
    <t>N7006 Northbrook House - Refurbishment</t>
  </si>
  <si>
    <t>N7010 Headley House - Refurbishment</t>
  </si>
  <si>
    <t>N7011 Cardinal House - Refurbishment</t>
  </si>
  <si>
    <t>Final accounts now agreed</t>
  </si>
  <si>
    <t>N7012 Grantham House - Refurbishment</t>
  </si>
  <si>
    <t>N7013 Bradlands House - Refurbishment</t>
  </si>
  <si>
    <t>N7015 Knights House - Refurbishment</t>
  </si>
  <si>
    <t>N7017 Aireys</t>
  </si>
  <si>
    <t>N7018 Minox</t>
  </si>
  <si>
    <t>Funded from the non traditional aireys budget</t>
  </si>
  <si>
    <t>N7019 Lambourn Road</t>
  </si>
  <si>
    <t>Housing Revenue Account</t>
  </si>
  <si>
    <t>Grand Total</t>
  </si>
  <si>
    <t>APPENDIX B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</si>
</sst>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-* #,##0_-;\-* #,##0_-;_-* &quot;-&quot;??_-;_-@_-"/>
    <numFmt numFmtId="174" formatCode="#,##0;\(#,##0\)"/>
    <numFmt numFmtId="175" formatCode="_(* #,##0.0_);_(* \(#,##0.0\);_(* &quot;-&quot;_);_(@_)"/>
    <numFmt numFmtId="176" formatCode="_(* #,##0,_);_(* \(#,##0,\);_(* &quot;-&quot;??_);_(@_)"/>
    <numFmt numFmtId="177" formatCode="_-* #,##0.0_-;\-* #,##0.0_-;_-* &quot;-&quot;?_-;_-@_-"/>
    <numFmt numFmtId="178" formatCode="#,##0.0;[Red]\-#,##0.0"/>
    <numFmt numFmtId="179" formatCode="yyyy/yyyy"/>
    <numFmt numFmtId="180" formatCode="#,##0,;\-#,##0,"/>
    <numFmt numFmtId="181" formatCode="#,##0,"/>
    <numFmt numFmtId="182" formatCode="#,##0,;\(\-#,##0,\)"/>
    <numFmt numFmtId="183" formatCode="mmmm\-yy"/>
    <numFmt numFmtId="184" formatCode="#,##0.0;\(#,##0.0\)"/>
    <numFmt numFmtId="185" formatCode="mmmm\ yyyy"/>
    <numFmt numFmtId="186" formatCode="#,##0.0_ ;[Red]\-#,##0.0\ "/>
    <numFmt numFmtId="187" formatCode="0.00_ ;[Red]\-0.00\ "/>
    <numFmt numFmtId="188" formatCode="#,##0.00;[Red]#,##0.00"/>
    <numFmt numFmtId="189" formatCode="#,##0.0;\(#,##0.00\)"/>
    <numFmt numFmtId="190" formatCode="#,##0.00;\(#,##0.00\)"/>
    <numFmt numFmtId="191" formatCode="0.0"/>
    <numFmt numFmtId="192" formatCode="#,##0.0;[Red]#,##0.0"/>
    <numFmt numFmtId="193" formatCode="_-* #,##0.0_-;\-* #,##0.0_-;_-* &quot;-&quot;??_-;_-@_-"/>
    <numFmt numFmtId="194" formatCode="#,,;\-#,,"/>
    <numFmt numFmtId="195" formatCode="#,##0.00_ ;[Red]\-#,##0.00\ "/>
    <numFmt numFmtId="196" formatCode="0.0_ ;[Red]\-0.0\ "/>
    <numFmt numFmtId="197" formatCode="&quot;£&quot;#,##0.0;[Red]\-&quot;£&quot;#,##0.0"/>
    <numFmt numFmtId="198" formatCode="0.0%"/>
    <numFmt numFmtId="199" formatCode="\(#,##0.00\)"/>
    <numFmt numFmtId="200" formatCode="#,###;\(0.00\)"/>
    <numFmt numFmtId="201" formatCode="#,##0.0;\(#,#00.00\)"/>
    <numFmt numFmtId="202" formatCode="#,##0.00;\(#,##0.0\)"/>
    <numFmt numFmtId="203" formatCode="0.0_);\(0.0\)"/>
    <numFmt numFmtId="204" formatCode="0.00000"/>
    <numFmt numFmtId="205" formatCode="0.000"/>
    <numFmt numFmtId="206" formatCode="0.0000"/>
    <numFmt numFmtId="207" formatCode="#,##0.00;\(#,#00.00\)"/>
    <numFmt numFmtId="208" formatCode="&quot;£&quot;#,##0.00"/>
    <numFmt numFmtId="209" formatCode="#.##0.00;\(#.##0.00\)"/>
    <numFmt numFmtId="210" formatCode="#,##0_ ;[Red]\-#,##0\ "/>
    <numFmt numFmtId="211" formatCode="#,##0;[Red]#,##0"/>
    <numFmt numFmtId="212" formatCode="&quot;£&quot;#,##0"/>
    <numFmt numFmtId="213" formatCode="###,###,###,##0.00;[Red]\-###,###,###,##0.00"/>
    <numFmt numFmtId="214" formatCode="#,##0.000"/>
    <numFmt numFmtId="215" formatCode="_(* #,##0\)_-;\-* #,##0_-;_-* &quot;-&quot;_-;_-@_-"/>
    <numFmt numFmtId="216" formatCode="#,##0;[Red]\(#,##0\)"/>
    <numFmt numFmtId="217" formatCode="0.0000000000"/>
    <numFmt numFmtId="218" formatCode="#,##0;[Red]\(##,#00\)"/>
    <numFmt numFmtId="219" formatCode="#,##0;[Red]\ \(#,##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&quot;£&quot;#,##0.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Border="1" applyAlignment="1">
      <alignment horizontal="center" vertical="top"/>
    </xf>
    <xf numFmtId="38" fontId="0" fillId="0" borderId="0" xfId="0" applyNumberFormat="1" applyBorder="1" applyAlignment="1">
      <alignment vertical="top"/>
    </xf>
    <xf numFmtId="9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38" fontId="1" fillId="2" borderId="1" xfId="0" applyNumberFormat="1" applyFont="1" applyFill="1" applyBorder="1" applyAlignment="1">
      <alignment horizontal="center" vertical="top" wrapText="1"/>
    </xf>
    <xf numFmtId="9" fontId="1" fillId="2" borderId="1" xfId="0" applyNumberFormat="1" applyFont="1" applyFill="1" applyBorder="1" applyAlignment="1">
      <alignment horizontal="center" vertical="top" wrapText="1"/>
    </xf>
    <xf numFmtId="38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38" fontId="1" fillId="0" borderId="0" xfId="0" applyNumberFormat="1" applyFont="1" applyFill="1" applyBorder="1" applyAlignment="1">
      <alignment horizontal="center" vertical="top" wrapText="1"/>
    </xf>
    <xf numFmtId="9" fontId="1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38" fontId="0" fillId="0" borderId="0" xfId="0" applyNumberFormat="1" applyFill="1" applyBorder="1" applyAlignment="1">
      <alignment vertical="top"/>
    </xf>
    <xf numFmtId="219" fontId="0" fillId="0" borderId="0" xfId="0" applyNumberFormat="1" applyBorder="1" applyAlignment="1">
      <alignment vertical="top"/>
    </xf>
    <xf numFmtId="219" fontId="0" fillId="0" borderId="0" xfId="0" applyNumberFormat="1" applyFill="1" applyBorder="1" applyAlignment="1">
      <alignment vertical="top"/>
    </xf>
    <xf numFmtId="0" fontId="1" fillId="4" borderId="0" xfId="0" applyFont="1" applyFill="1" applyBorder="1" applyAlignment="1">
      <alignment vertical="top"/>
    </xf>
    <xf numFmtId="38" fontId="1" fillId="4" borderId="0" xfId="0" applyNumberFormat="1" applyFont="1" applyFill="1" applyBorder="1" applyAlignment="1">
      <alignment vertical="top"/>
    </xf>
    <xf numFmtId="9" fontId="1" fillId="4" borderId="0" xfId="0" applyNumberFormat="1" applyFont="1" applyFill="1" applyBorder="1" applyAlignment="1">
      <alignment vertical="top"/>
    </xf>
    <xf numFmtId="216" fontId="1" fillId="4" borderId="0" xfId="0" applyNumberFormat="1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top"/>
    </xf>
    <xf numFmtId="38" fontId="1" fillId="0" borderId="0" xfId="0" applyNumberFormat="1" applyFont="1" applyFill="1" applyBorder="1" applyAlignment="1">
      <alignment vertical="top"/>
    </xf>
    <xf numFmtId="9" fontId="1" fillId="0" borderId="0" xfId="0" applyNumberFormat="1" applyFont="1" applyFill="1" applyBorder="1" applyAlignment="1">
      <alignment vertical="top"/>
    </xf>
    <xf numFmtId="216" fontId="1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9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0" fillId="0" borderId="0" xfId="0" applyFont="1" applyBorder="1" applyAlignment="1">
      <alignment vertical="top"/>
    </xf>
    <xf numFmtId="9" fontId="1" fillId="0" borderId="0" xfId="21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38" fontId="0" fillId="0" borderId="0" xfId="0" applyNumberFormat="1" applyFont="1" applyFill="1" applyBorder="1" applyAlignment="1">
      <alignment vertical="top"/>
    </xf>
    <xf numFmtId="9" fontId="0" fillId="0" borderId="0" xfId="0" applyNumberFormat="1" applyFont="1" applyFill="1" applyBorder="1" applyAlignment="1">
      <alignment vertical="top"/>
    </xf>
    <xf numFmtId="219" fontId="0" fillId="0" borderId="0" xfId="0" applyNumberFormat="1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38" fontId="0" fillId="0" borderId="0" xfId="0" applyNumberFormat="1" applyFont="1" applyFill="1" applyBorder="1" applyAlignment="1">
      <alignment vertical="top"/>
    </xf>
    <xf numFmtId="9" fontId="0" fillId="0" borderId="0" xfId="0" applyNumberFormat="1" applyFont="1" applyFill="1" applyBorder="1" applyAlignment="1">
      <alignment vertical="top"/>
    </xf>
    <xf numFmtId="219" fontId="0" fillId="0" borderId="0" xfId="0" applyNumberFormat="1" applyFont="1" applyFill="1" applyBorder="1" applyAlignment="1">
      <alignment vertical="top"/>
    </xf>
    <xf numFmtId="2" fontId="0" fillId="0" borderId="0" xfId="0" applyNumberFormat="1" applyFill="1" applyBorder="1" applyAlignment="1">
      <alignment vertical="top"/>
    </xf>
    <xf numFmtId="2" fontId="0" fillId="0" borderId="0" xfId="0" applyNumberFormat="1" applyBorder="1" applyAlignment="1">
      <alignment vertical="top"/>
    </xf>
    <xf numFmtId="3" fontId="0" fillId="0" borderId="0" xfId="0" applyNumberForma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216" fontId="1" fillId="4" borderId="0" xfId="0" applyNumberFormat="1" applyFont="1" applyFill="1" applyBorder="1" applyAlignment="1">
      <alignment vertical="top" wrapText="1"/>
    </xf>
    <xf numFmtId="216" fontId="1" fillId="0" borderId="0" xfId="0" applyNumberFormat="1" applyFont="1" applyFill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216" fontId="0" fillId="0" borderId="0" xfId="0" applyNumberFormat="1" applyFont="1" applyFill="1" applyBorder="1" applyAlignment="1">
      <alignment horizontal="left" vertical="top" wrapText="1"/>
    </xf>
    <xf numFmtId="3" fontId="0" fillId="0" borderId="0" xfId="0" applyNumberFormat="1" applyFont="1" applyBorder="1" applyAlignment="1">
      <alignment vertical="top" wrapText="1"/>
    </xf>
    <xf numFmtId="2" fontId="0" fillId="0" borderId="0" xfId="0" applyNumberFormat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8" fontId="0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Fill="1" applyBorder="1" applyAlignment="1">
      <alignment vertical="top"/>
    </xf>
    <xf numFmtId="38" fontId="7" fillId="0" borderId="0" xfId="0" applyNumberFormat="1" applyFont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53</xdr:row>
      <xdr:rowOff>66675</xdr:rowOff>
    </xdr:from>
    <xdr:to>
      <xdr:col>1</xdr:col>
      <xdr:colOff>0</xdr:colOff>
      <xdr:row>64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762500" y="11687175"/>
          <a:ext cx="0" cy="2038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Capital\2004_2005\housing%20e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westmoreland\Local%20Settings\Temporary%20Internet%20Files\OLKA3\Capital%20Programme%20table%20-Sep11-%20in%20progres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s"/>
      <sheetName val="Cap E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F HRA Split"/>
      <sheetName val="Funding Detail"/>
      <sheetName val="Funding Sum 31st July Estimate"/>
      <sheetName val="Cap Rec Estimated Costs"/>
      <sheetName val="Funding Sum 31st July Risk Adj"/>
      <sheetName val="Funding Summary"/>
      <sheetName val="Funding"/>
      <sheetName val="Funding For Cap Prog Jan 08"/>
      <sheetName val="Funding For July  08"/>
      <sheetName val="Cap Rec Risk Adj Amnt"/>
      <sheetName val="Funding Info August 2011"/>
      <sheetName val="Update Work"/>
      <sheetName val="Cap programme with financing"/>
      <sheetName val="Agresso Spend 300911"/>
      <sheetName val="Agresso Print July 2011"/>
      <sheetName val="Agresso Print June 2011"/>
      <sheetName val="Cap Spend to 21st Jan"/>
      <sheetName val="PGs list"/>
      <sheetName val="PGs list sorted"/>
      <sheetName val="Cap Prog Agree with Budget"/>
      <sheetName val="Cap Prog Aug 10"/>
      <sheetName val="Cap Prog July 10"/>
      <sheetName val="Cap Prog June 10"/>
      <sheetName val="HRA Spend"/>
      <sheetName val="Jan Cap Programme"/>
      <sheetName val="Oct Cap Programme "/>
      <sheetName val="Cap Receipts Jan"/>
      <sheetName val="Cap Receipts Oct 07"/>
      <sheetName val="Capital Receipts March 07"/>
      <sheetName val="DCspend"/>
      <sheetName val="Feb summary"/>
    </sheetNames>
    <sheetDataSet>
      <sheetData sheetId="13">
        <row r="1">
          <cell r="A1" t="str">
            <v>Costc</v>
          </cell>
          <cell r="B1" t="str">
            <v>Costc (T)</v>
          </cell>
          <cell r="C1" t="str">
            <v>Approved budget</v>
          </cell>
          <cell r="D1" t="str">
            <v>PO Adjs</v>
          </cell>
          <cell r="E1" t="str">
            <v>Predicted Outturn</v>
          </cell>
          <cell r="F1" t="str">
            <v>Amount</v>
          </cell>
          <cell r="G1" t="str">
            <v>OE</v>
          </cell>
          <cell r="H1" t="str">
            <v>CE</v>
          </cell>
        </row>
        <row r="2">
          <cell r="A2" t="str">
            <v>A1161</v>
          </cell>
          <cell r="B2" t="str">
            <v>Fry's Hill Leisure Development</v>
          </cell>
          <cell r="C2">
            <v>140074</v>
          </cell>
          <cell r="D2">
            <v>0</v>
          </cell>
          <cell r="E2">
            <v>140074</v>
          </cell>
          <cell r="F2">
            <v>0</v>
          </cell>
          <cell r="G2">
            <v>0</v>
          </cell>
          <cell r="H2">
            <v>140074</v>
          </cell>
        </row>
        <row r="3">
          <cell r="A3" t="str">
            <v>A1300</v>
          </cell>
          <cell r="B3" t="str">
            <v>Playground Refurbishment</v>
          </cell>
          <cell r="C3">
            <v>685509</v>
          </cell>
          <cell r="D3">
            <v>0</v>
          </cell>
          <cell r="E3">
            <v>685509</v>
          </cell>
          <cell r="F3">
            <v>327665.91</v>
          </cell>
          <cell r="G3">
            <v>0</v>
          </cell>
          <cell r="H3">
            <v>685509</v>
          </cell>
        </row>
        <row r="4">
          <cell r="A4" t="str">
            <v>A1301</v>
          </cell>
          <cell r="B4" t="str">
            <v>Play Barton</v>
          </cell>
          <cell r="C4">
            <v>744465</v>
          </cell>
          <cell r="D4">
            <v>0</v>
          </cell>
          <cell r="E4">
            <v>744465</v>
          </cell>
          <cell r="F4">
            <v>29785.24</v>
          </cell>
          <cell r="G4">
            <v>0</v>
          </cell>
          <cell r="H4">
            <v>744465</v>
          </cell>
        </row>
        <row r="5">
          <cell r="A5" t="str">
            <v>A1500</v>
          </cell>
          <cell r="B5" t="str">
            <v>Paradise Street - work of art</v>
          </cell>
          <cell r="C5">
            <v>661</v>
          </cell>
          <cell r="D5">
            <v>0</v>
          </cell>
          <cell r="E5">
            <v>661</v>
          </cell>
          <cell r="F5">
            <v>294</v>
          </cell>
          <cell r="G5">
            <v>0</v>
          </cell>
          <cell r="H5">
            <v>661</v>
          </cell>
        </row>
        <row r="6">
          <cell r="A6" t="str">
            <v>A3120</v>
          </cell>
          <cell r="B6" t="str">
            <v>Florence Park Public Open Space/Children Play Area</v>
          </cell>
          <cell r="C6">
            <v>25346</v>
          </cell>
          <cell r="D6">
            <v>0</v>
          </cell>
          <cell r="E6">
            <v>25346</v>
          </cell>
          <cell r="F6">
            <v>0</v>
          </cell>
          <cell r="G6">
            <v>0</v>
          </cell>
          <cell r="H6">
            <v>25346</v>
          </cell>
        </row>
        <row r="7">
          <cell r="A7" t="str">
            <v>A3124</v>
          </cell>
          <cell r="B7" t="str">
            <v>Barton Village Pavillion</v>
          </cell>
          <cell r="C7">
            <v>350311</v>
          </cell>
          <cell r="D7">
            <v>0</v>
          </cell>
          <cell r="E7">
            <v>350311</v>
          </cell>
          <cell r="F7">
            <v>274684.77</v>
          </cell>
          <cell r="G7">
            <v>0</v>
          </cell>
          <cell r="H7">
            <v>350311</v>
          </cell>
        </row>
        <row r="8">
          <cell r="A8" t="str">
            <v>A3125</v>
          </cell>
          <cell r="B8" t="str">
            <v>Milham Ford Park Land and Recreational Facilities</v>
          </cell>
          <cell r="C8">
            <v>13189</v>
          </cell>
          <cell r="D8">
            <v>0</v>
          </cell>
          <cell r="E8">
            <v>13189</v>
          </cell>
          <cell r="F8">
            <v>0</v>
          </cell>
          <cell r="G8">
            <v>0</v>
          </cell>
          <cell r="H8">
            <v>13189</v>
          </cell>
        </row>
        <row r="9">
          <cell r="A9" t="str">
            <v>A3127</v>
          </cell>
          <cell r="B9" t="str">
            <v>Girdlestone Rd improvement to public space</v>
          </cell>
          <cell r="C9">
            <v>500</v>
          </cell>
          <cell r="D9">
            <v>0</v>
          </cell>
          <cell r="E9">
            <v>500</v>
          </cell>
          <cell r="F9">
            <v>0</v>
          </cell>
          <cell r="G9">
            <v>0</v>
          </cell>
          <cell r="H9">
            <v>500</v>
          </cell>
        </row>
        <row r="10">
          <cell r="A10" t="str">
            <v>A3129</v>
          </cell>
          <cell r="B10" t="str">
            <v>Donnington Recreation Ground Improvements</v>
          </cell>
          <cell r="C10">
            <v>44375</v>
          </cell>
          <cell r="D10">
            <v>0</v>
          </cell>
          <cell r="E10">
            <v>44375</v>
          </cell>
          <cell r="F10">
            <v>0</v>
          </cell>
          <cell r="G10">
            <v>0</v>
          </cell>
          <cell r="H10">
            <v>44375</v>
          </cell>
        </row>
        <row r="11">
          <cell r="A11" t="str">
            <v>A4800</v>
          </cell>
          <cell r="B11" t="str">
            <v>Barton Pool</v>
          </cell>
          <cell r="C11">
            <v>-21493</v>
          </cell>
          <cell r="D11">
            <v>0</v>
          </cell>
          <cell r="E11">
            <v>-21493</v>
          </cell>
          <cell r="F11">
            <v>0</v>
          </cell>
          <cell r="G11">
            <v>0</v>
          </cell>
          <cell r="H11">
            <v>-21493</v>
          </cell>
        </row>
        <row r="12">
          <cell r="A12" t="str">
            <v>A4801</v>
          </cell>
          <cell r="B12" t="str">
            <v>BBL Pool</v>
          </cell>
          <cell r="C12">
            <v>-17446</v>
          </cell>
          <cell r="D12">
            <v>0</v>
          </cell>
          <cell r="E12">
            <v>-17446</v>
          </cell>
          <cell r="F12">
            <v>183.1</v>
          </cell>
          <cell r="G12">
            <v>0</v>
          </cell>
          <cell r="H12">
            <v>-17446</v>
          </cell>
        </row>
        <row r="13">
          <cell r="A13" t="str">
            <v>A4802</v>
          </cell>
          <cell r="B13" t="str">
            <v>BBL LC</v>
          </cell>
          <cell r="C13">
            <v>563548</v>
          </cell>
          <cell r="D13">
            <v>0</v>
          </cell>
          <cell r="E13">
            <v>563548</v>
          </cell>
          <cell r="F13">
            <v>0</v>
          </cell>
          <cell r="G13">
            <v>0</v>
          </cell>
          <cell r="H13">
            <v>563548</v>
          </cell>
        </row>
        <row r="14">
          <cell r="A14" t="str">
            <v>A4803</v>
          </cell>
          <cell r="B14" t="str">
            <v>Ferry LC</v>
          </cell>
          <cell r="C14">
            <v>56935</v>
          </cell>
          <cell r="D14">
            <v>0</v>
          </cell>
          <cell r="E14">
            <v>56935</v>
          </cell>
          <cell r="F14">
            <v>-1310</v>
          </cell>
          <cell r="G14">
            <v>0</v>
          </cell>
          <cell r="H14">
            <v>56935</v>
          </cell>
        </row>
        <row r="15">
          <cell r="A15" t="str">
            <v>A4804</v>
          </cell>
          <cell r="B15" t="str">
            <v>Hinksey Pool</v>
          </cell>
          <cell r="C15">
            <v>39162</v>
          </cell>
          <cell r="D15">
            <v>0</v>
          </cell>
          <cell r="E15">
            <v>39162</v>
          </cell>
          <cell r="F15">
            <v>23301.3</v>
          </cell>
          <cell r="G15">
            <v>0</v>
          </cell>
          <cell r="H15">
            <v>39162</v>
          </cell>
        </row>
        <row r="16">
          <cell r="A16" t="str">
            <v>A4805</v>
          </cell>
          <cell r="B16" t="str">
            <v>Temple Cowley Pool</v>
          </cell>
          <cell r="C16">
            <v>-73494</v>
          </cell>
          <cell r="D16">
            <v>0</v>
          </cell>
          <cell r="E16">
            <v>-73494</v>
          </cell>
          <cell r="F16">
            <v>-20.04</v>
          </cell>
          <cell r="G16">
            <v>0</v>
          </cell>
          <cell r="H16">
            <v>-73494</v>
          </cell>
        </row>
        <row r="17">
          <cell r="A17" t="str">
            <v>A4806</v>
          </cell>
          <cell r="B17" t="str">
            <v>Ice Rink</v>
          </cell>
          <cell r="C17">
            <v>-502446</v>
          </cell>
          <cell r="D17">
            <v>0</v>
          </cell>
          <cell r="E17">
            <v>-502446</v>
          </cell>
          <cell r="F17">
            <v>8129.89</v>
          </cell>
          <cell r="G17">
            <v>0</v>
          </cell>
          <cell r="H17">
            <v>-502446</v>
          </cell>
        </row>
        <row r="18">
          <cell r="A18" t="str">
            <v>A4807</v>
          </cell>
          <cell r="B18" t="str">
            <v>Barton Pool Improvements</v>
          </cell>
          <cell r="C18">
            <v>45593</v>
          </cell>
          <cell r="D18">
            <v>0</v>
          </cell>
          <cell r="E18">
            <v>45593</v>
          </cell>
          <cell r="F18">
            <v>96520.81</v>
          </cell>
          <cell r="G18">
            <v>0</v>
          </cell>
          <cell r="H18">
            <v>45593</v>
          </cell>
        </row>
        <row r="19">
          <cell r="A19" t="str">
            <v>A4808</v>
          </cell>
          <cell r="B19" t="str">
            <v>Blackbird Leys LC Improvements</v>
          </cell>
          <cell r="C19">
            <v>335128</v>
          </cell>
          <cell r="D19">
            <v>0</v>
          </cell>
          <cell r="E19">
            <v>335128</v>
          </cell>
          <cell r="F19">
            <v>0</v>
          </cell>
          <cell r="G19">
            <v>0</v>
          </cell>
          <cell r="H19">
            <v>335128</v>
          </cell>
        </row>
        <row r="20">
          <cell r="A20" t="str">
            <v>A4809</v>
          </cell>
          <cell r="B20" t="str">
            <v>Ferry Sports Centre Improvements</v>
          </cell>
          <cell r="C20">
            <v>-56850</v>
          </cell>
          <cell r="D20">
            <v>0</v>
          </cell>
          <cell r="E20">
            <v>-56850</v>
          </cell>
          <cell r="F20">
            <v>0</v>
          </cell>
          <cell r="G20">
            <v>0</v>
          </cell>
          <cell r="H20">
            <v>-56850</v>
          </cell>
        </row>
        <row r="21">
          <cell r="A21" t="str">
            <v>A4810</v>
          </cell>
          <cell r="B21" t="str">
            <v>New Build Competion Pool</v>
          </cell>
          <cell r="C21">
            <v>7438071</v>
          </cell>
          <cell r="D21">
            <v>0</v>
          </cell>
          <cell r="E21">
            <v>7438071</v>
          </cell>
          <cell r="F21">
            <v>198597.22</v>
          </cell>
          <cell r="G21">
            <v>0</v>
          </cell>
          <cell r="H21">
            <v>7438071</v>
          </cell>
        </row>
        <row r="22">
          <cell r="A22" t="str">
            <v>A4812</v>
          </cell>
          <cell r="B22" t="str">
            <v>Building Improvements (GF Leisure)</v>
          </cell>
          <cell r="C22">
            <v>130000</v>
          </cell>
          <cell r="D22">
            <v>0</v>
          </cell>
          <cell r="E22">
            <v>130000</v>
          </cell>
          <cell r="F22">
            <v>2000</v>
          </cell>
          <cell r="G22">
            <v>0</v>
          </cell>
          <cell r="H22">
            <v>130000</v>
          </cell>
        </row>
        <row r="23">
          <cell r="A23" t="str">
            <v>A4813</v>
          </cell>
          <cell r="B23" t="str">
            <v>Hinksey Pools Main Pool Liner</v>
          </cell>
          <cell r="C23">
            <v>110000</v>
          </cell>
          <cell r="D23">
            <v>0</v>
          </cell>
          <cell r="E23">
            <v>110000</v>
          </cell>
          <cell r="F23">
            <v>74717</v>
          </cell>
          <cell r="G23">
            <v>0</v>
          </cell>
          <cell r="H23">
            <v>110000</v>
          </cell>
        </row>
        <row r="24">
          <cell r="A24" t="str">
            <v>A4814</v>
          </cell>
          <cell r="B24" t="str">
            <v>Leisure Centre Substantive Works</v>
          </cell>
          <cell r="C24">
            <v>425000</v>
          </cell>
          <cell r="D24">
            <v>0</v>
          </cell>
          <cell r="E24">
            <v>425000</v>
          </cell>
          <cell r="F24">
            <v>0</v>
          </cell>
          <cell r="G24">
            <v>0</v>
          </cell>
          <cell r="H24">
            <v>425000</v>
          </cell>
        </row>
        <row r="25">
          <cell r="A25" t="str">
            <v>B0003</v>
          </cell>
          <cell r="B25" t="str">
            <v>Roof Repairs &amp; Ext Refurb - 44-46 George St</v>
          </cell>
          <cell r="C25">
            <v>30000</v>
          </cell>
          <cell r="D25">
            <v>0</v>
          </cell>
          <cell r="E25">
            <v>30000</v>
          </cell>
          <cell r="F25">
            <v>0</v>
          </cell>
          <cell r="G25">
            <v>0</v>
          </cell>
          <cell r="H25">
            <v>30000</v>
          </cell>
        </row>
        <row r="26">
          <cell r="A26" t="str">
            <v>B0010</v>
          </cell>
          <cell r="B26" t="str">
            <v>Covered Market - signage improvements</v>
          </cell>
          <cell r="C26">
            <v>12147</v>
          </cell>
          <cell r="D26">
            <v>0</v>
          </cell>
          <cell r="E26">
            <v>12147</v>
          </cell>
          <cell r="F26">
            <v>0</v>
          </cell>
          <cell r="G26">
            <v>0</v>
          </cell>
          <cell r="H26">
            <v>12147</v>
          </cell>
        </row>
        <row r="27">
          <cell r="A27" t="str">
            <v>B0012</v>
          </cell>
          <cell r="B27" t="str">
            <v>BBL CC - wiring Improvements</v>
          </cell>
          <cell r="C27">
            <v>25000</v>
          </cell>
          <cell r="D27">
            <v>0</v>
          </cell>
          <cell r="E27">
            <v>25000</v>
          </cell>
          <cell r="F27">
            <v>14729.7</v>
          </cell>
          <cell r="G27">
            <v>0</v>
          </cell>
          <cell r="H27">
            <v>25000</v>
          </cell>
        </row>
        <row r="28">
          <cell r="A28" t="str">
            <v>B0015</v>
          </cell>
          <cell r="B28" t="str">
            <v>South Oxford CC - Roof refurbishments</v>
          </cell>
          <cell r="C28">
            <v>7006</v>
          </cell>
          <cell r="D28">
            <v>0</v>
          </cell>
          <cell r="E28">
            <v>7006</v>
          </cell>
          <cell r="F28">
            <v>0</v>
          </cell>
          <cell r="G28">
            <v>0</v>
          </cell>
          <cell r="H28">
            <v>7006</v>
          </cell>
        </row>
        <row r="29">
          <cell r="A29" t="str">
            <v>B0022</v>
          </cell>
          <cell r="B29" t="str">
            <v>DDA East Oxford Community Centre Lift</v>
          </cell>
          <cell r="C29">
            <v>62648</v>
          </cell>
          <cell r="D29">
            <v>0</v>
          </cell>
          <cell r="E29">
            <v>62648</v>
          </cell>
          <cell r="F29">
            <v>0</v>
          </cell>
          <cell r="G29">
            <v>0</v>
          </cell>
          <cell r="H29">
            <v>62648</v>
          </cell>
        </row>
        <row r="30">
          <cell r="A30" t="str">
            <v>B0026</v>
          </cell>
          <cell r="B30" t="str">
            <v>Parks &amp; Cemetry Stone Wall &amp; Path Improvements</v>
          </cell>
          <cell r="C30">
            <v>35000</v>
          </cell>
          <cell r="D30">
            <v>0</v>
          </cell>
          <cell r="E30">
            <v>35000</v>
          </cell>
          <cell r="F30">
            <v>0</v>
          </cell>
          <cell r="G30">
            <v>0</v>
          </cell>
          <cell r="H30">
            <v>35000</v>
          </cell>
        </row>
        <row r="31">
          <cell r="A31" t="str">
            <v>B0027</v>
          </cell>
          <cell r="B31" t="str">
            <v>Covered Market - Improvements &amp; Upgrade to Roof</v>
          </cell>
          <cell r="C31">
            <v>85000</v>
          </cell>
          <cell r="D31">
            <v>0</v>
          </cell>
          <cell r="E31">
            <v>85000</v>
          </cell>
          <cell r="F31">
            <v>0</v>
          </cell>
          <cell r="G31">
            <v>0</v>
          </cell>
          <cell r="H31">
            <v>85000</v>
          </cell>
        </row>
        <row r="32">
          <cell r="A32" t="str">
            <v>B0028</v>
          </cell>
          <cell r="B32" t="str">
            <v>Covered Market - New Roof Structures to High St En</v>
          </cell>
          <cell r="C32">
            <v>30000</v>
          </cell>
          <cell r="D32">
            <v>0</v>
          </cell>
          <cell r="E32">
            <v>30000</v>
          </cell>
          <cell r="F32">
            <v>0</v>
          </cell>
          <cell r="G32">
            <v>0</v>
          </cell>
          <cell r="H32">
            <v>30000</v>
          </cell>
        </row>
        <row r="33">
          <cell r="A33" t="str">
            <v>B0029</v>
          </cell>
          <cell r="B33" t="str">
            <v>33-35 George St - Upgrade to Lettable Condition</v>
          </cell>
          <cell r="C33">
            <v>57000</v>
          </cell>
          <cell r="D33">
            <v>0</v>
          </cell>
          <cell r="E33">
            <v>57000</v>
          </cell>
          <cell r="F33">
            <v>0</v>
          </cell>
          <cell r="G33">
            <v>0</v>
          </cell>
          <cell r="H33">
            <v>57000</v>
          </cell>
        </row>
        <row r="34">
          <cell r="A34" t="str">
            <v>B0030</v>
          </cell>
          <cell r="B34" t="str">
            <v>Consolidation of parks Depot - South Park to Cutte</v>
          </cell>
          <cell r="C34">
            <v>60000</v>
          </cell>
          <cell r="D34">
            <v>0</v>
          </cell>
          <cell r="E34">
            <v>60000</v>
          </cell>
          <cell r="F34">
            <v>0</v>
          </cell>
          <cell r="G34">
            <v>0</v>
          </cell>
          <cell r="H34">
            <v>60000</v>
          </cell>
        </row>
        <row r="35">
          <cell r="A35" t="str">
            <v>B0031</v>
          </cell>
          <cell r="B35" t="str">
            <v>Miscellaneous Admin Buildings</v>
          </cell>
          <cell r="C35">
            <v>20000</v>
          </cell>
          <cell r="D35">
            <v>0</v>
          </cell>
          <cell r="E35">
            <v>20000</v>
          </cell>
          <cell r="F35">
            <v>0</v>
          </cell>
          <cell r="G35">
            <v>0</v>
          </cell>
          <cell r="H35">
            <v>20000</v>
          </cell>
        </row>
        <row r="36">
          <cell r="A36" t="str">
            <v>B0032</v>
          </cell>
          <cell r="B36" t="str">
            <v>Bury Knowle House</v>
          </cell>
          <cell r="C36">
            <v>45000</v>
          </cell>
          <cell r="D36">
            <v>0</v>
          </cell>
          <cell r="E36">
            <v>45000</v>
          </cell>
          <cell r="F36">
            <v>0</v>
          </cell>
          <cell r="G36">
            <v>0</v>
          </cell>
          <cell r="H36">
            <v>45000</v>
          </cell>
        </row>
        <row r="37">
          <cell r="A37" t="str">
            <v>B0033</v>
          </cell>
          <cell r="B37" t="str">
            <v>Community Centres</v>
          </cell>
          <cell r="C37">
            <v>162500</v>
          </cell>
          <cell r="D37">
            <v>0</v>
          </cell>
          <cell r="E37">
            <v>162500</v>
          </cell>
          <cell r="F37">
            <v>0</v>
          </cell>
          <cell r="G37">
            <v>0</v>
          </cell>
          <cell r="H37">
            <v>162500</v>
          </cell>
        </row>
        <row r="38">
          <cell r="A38" t="str">
            <v>B0034</v>
          </cell>
          <cell r="B38" t="str">
            <v>Rose Hill Community Centre</v>
          </cell>
          <cell r="C38">
            <v>199500</v>
          </cell>
          <cell r="D38">
            <v>0</v>
          </cell>
          <cell r="E38">
            <v>199500</v>
          </cell>
          <cell r="F38">
            <v>0</v>
          </cell>
          <cell r="G38">
            <v>0</v>
          </cell>
          <cell r="H38">
            <v>199500</v>
          </cell>
        </row>
        <row r="39">
          <cell r="A39" t="str">
            <v>B0035</v>
          </cell>
          <cell r="B39" t="str">
            <v>Miscellaneous Civic Properties</v>
          </cell>
          <cell r="C39">
            <v>4500</v>
          </cell>
          <cell r="D39">
            <v>0</v>
          </cell>
          <cell r="E39">
            <v>4500</v>
          </cell>
          <cell r="F39">
            <v>0</v>
          </cell>
          <cell r="G39">
            <v>0</v>
          </cell>
          <cell r="H39">
            <v>4500</v>
          </cell>
        </row>
        <row r="40">
          <cell r="A40" t="str">
            <v>B0036</v>
          </cell>
          <cell r="B40" t="str">
            <v>Investment - Covered Market</v>
          </cell>
          <cell r="C40">
            <v>70000</v>
          </cell>
          <cell r="D40">
            <v>0</v>
          </cell>
          <cell r="E40">
            <v>70000</v>
          </cell>
          <cell r="F40">
            <v>0</v>
          </cell>
          <cell r="G40">
            <v>0</v>
          </cell>
          <cell r="H40">
            <v>70000</v>
          </cell>
        </row>
        <row r="41">
          <cell r="A41" t="str">
            <v>B0039</v>
          </cell>
          <cell r="B41" t="str">
            <v>Houses &amp; Lodges</v>
          </cell>
          <cell r="C41">
            <v>51000</v>
          </cell>
          <cell r="D41">
            <v>0</v>
          </cell>
          <cell r="E41">
            <v>51000</v>
          </cell>
          <cell r="F41">
            <v>0</v>
          </cell>
          <cell r="G41">
            <v>0</v>
          </cell>
          <cell r="H41">
            <v>51000</v>
          </cell>
        </row>
        <row r="42">
          <cell r="A42" t="str">
            <v>B0040</v>
          </cell>
          <cell r="B42" t="str">
            <v>Investment - Broad Street</v>
          </cell>
          <cell r="C42">
            <v>55000</v>
          </cell>
          <cell r="D42">
            <v>0</v>
          </cell>
          <cell r="E42">
            <v>55000</v>
          </cell>
          <cell r="F42">
            <v>0</v>
          </cell>
          <cell r="G42">
            <v>0</v>
          </cell>
          <cell r="H42">
            <v>55000</v>
          </cell>
        </row>
        <row r="43">
          <cell r="A43" t="str">
            <v>B0043</v>
          </cell>
          <cell r="B43" t="str">
            <v>Investment - George Street</v>
          </cell>
          <cell r="C43">
            <v>50000</v>
          </cell>
          <cell r="D43">
            <v>0</v>
          </cell>
          <cell r="E43">
            <v>50000</v>
          </cell>
          <cell r="F43">
            <v>0</v>
          </cell>
          <cell r="G43">
            <v>0</v>
          </cell>
          <cell r="H43">
            <v>50000</v>
          </cell>
        </row>
        <row r="44">
          <cell r="A44" t="str">
            <v>B0045</v>
          </cell>
          <cell r="B44" t="str">
            <v>Investment - St Michaels Street</v>
          </cell>
          <cell r="C44">
            <v>30000</v>
          </cell>
          <cell r="D44">
            <v>0</v>
          </cell>
          <cell r="E44">
            <v>30000</v>
          </cell>
          <cell r="F44">
            <v>0</v>
          </cell>
          <cell r="G44">
            <v>0</v>
          </cell>
          <cell r="H44">
            <v>30000</v>
          </cell>
        </row>
        <row r="45">
          <cell r="A45" t="str">
            <v>B0050</v>
          </cell>
          <cell r="B45" t="str">
            <v>Leisure - Depots</v>
          </cell>
          <cell r="C45">
            <v>10000</v>
          </cell>
          <cell r="D45">
            <v>0</v>
          </cell>
          <cell r="E45">
            <v>10000</v>
          </cell>
          <cell r="F45">
            <v>0</v>
          </cell>
          <cell r="G45">
            <v>0</v>
          </cell>
          <cell r="H45">
            <v>10000</v>
          </cell>
        </row>
        <row r="46">
          <cell r="A46" t="str">
            <v>B0053</v>
          </cell>
          <cell r="B46" t="str">
            <v>Public Toilets</v>
          </cell>
          <cell r="C46">
            <v>2500</v>
          </cell>
          <cell r="D46">
            <v>0</v>
          </cell>
          <cell r="E46">
            <v>2500</v>
          </cell>
          <cell r="F46">
            <v>0</v>
          </cell>
          <cell r="G46">
            <v>0</v>
          </cell>
          <cell r="H46">
            <v>2500</v>
          </cell>
        </row>
        <row r="47">
          <cell r="A47" t="str">
            <v>B0054</v>
          </cell>
          <cell r="B47" t="str">
            <v>Town Hall</v>
          </cell>
          <cell r="C47">
            <v>200000</v>
          </cell>
          <cell r="D47">
            <v>0</v>
          </cell>
          <cell r="E47">
            <v>200000</v>
          </cell>
          <cell r="F47">
            <v>0</v>
          </cell>
          <cell r="G47">
            <v>0</v>
          </cell>
          <cell r="H47">
            <v>200000</v>
          </cell>
        </row>
        <row r="48">
          <cell r="A48" t="str">
            <v>B0055</v>
          </cell>
          <cell r="B48" t="str">
            <v>Property Surveys</v>
          </cell>
          <cell r="C48">
            <v>100000</v>
          </cell>
          <cell r="D48">
            <v>0</v>
          </cell>
          <cell r="E48">
            <v>100000</v>
          </cell>
          <cell r="F48">
            <v>3733.75</v>
          </cell>
          <cell r="G48">
            <v>0</v>
          </cell>
          <cell r="H48">
            <v>100000</v>
          </cell>
        </row>
        <row r="49">
          <cell r="A49" t="str">
            <v>B0056</v>
          </cell>
          <cell r="B49" t="str">
            <v>City Centre Office Security</v>
          </cell>
          <cell r="C49">
            <v>100000</v>
          </cell>
          <cell r="D49">
            <v>0</v>
          </cell>
          <cell r="E49">
            <v>100000</v>
          </cell>
          <cell r="F49">
            <v>0</v>
          </cell>
          <cell r="G49">
            <v>0</v>
          </cell>
          <cell r="H49">
            <v>100000</v>
          </cell>
        </row>
        <row r="50">
          <cell r="A50" t="str">
            <v>B1001</v>
          </cell>
          <cell r="B50" t="str">
            <v>Blackwells Music Shop Repairs</v>
          </cell>
          <cell r="C50">
            <v>70000</v>
          </cell>
          <cell r="D50">
            <v>0</v>
          </cell>
          <cell r="E50">
            <v>70000</v>
          </cell>
          <cell r="F50">
            <v>0</v>
          </cell>
          <cell r="G50">
            <v>0</v>
          </cell>
          <cell r="H50">
            <v>70000</v>
          </cell>
        </row>
        <row r="51">
          <cell r="A51" t="str">
            <v>B1002</v>
          </cell>
          <cell r="B51" t="str">
            <v>Town Hall PA System upgrades</v>
          </cell>
          <cell r="C51">
            <v>28190</v>
          </cell>
          <cell r="D51">
            <v>0</v>
          </cell>
          <cell r="E51">
            <v>28190</v>
          </cell>
          <cell r="F51">
            <v>0</v>
          </cell>
          <cell r="G51">
            <v>0</v>
          </cell>
          <cell r="H51">
            <v>28190</v>
          </cell>
        </row>
        <row r="52">
          <cell r="A52" t="str">
            <v>B1003</v>
          </cell>
          <cell r="B52" t="str">
            <v>Town Hall Pigeon proofing</v>
          </cell>
          <cell r="C52">
            <v>5000</v>
          </cell>
          <cell r="D52">
            <v>0</v>
          </cell>
          <cell r="E52">
            <v>5000</v>
          </cell>
          <cell r="F52">
            <v>0</v>
          </cell>
          <cell r="G52">
            <v>0</v>
          </cell>
          <cell r="H52">
            <v>5000</v>
          </cell>
        </row>
        <row r="53">
          <cell r="A53" t="str">
            <v>B1004</v>
          </cell>
          <cell r="B53" t="str">
            <v>Covered Market repairs/upgrading</v>
          </cell>
          <cell r="C53">
            <v>23784</v>
          </cell>
          <cell r="D53">
            <v>0</v>
          </cell>
          <cell r="E53">
            <v>23784</v>
          </cell>
          <cell r="F53">
            <v>0</v>
          </cell>
          <cell r="G53">
            <v>0</v>
          </cell>
          <cell r="H53">
            <v>23784</v>
          </cell>
        </row>
        <row r="54">
          <cell r="A54" t="str">
            <v>B1005</v>
          </cell>
          <cell r="B54" t="str">
            <v>Town Hall Leaded light window improvements</v>
          </cell>
          <cell r="C54">
            <v>25000</v>
          </cell>
          <cell r="D54">
            <v>0</v>
          </cell>
          <cell r="E54">
            <v>25000</v>
          </cell>
          <cell r="F54">
            <v>0</v>
          </cell>
          <cell r="G54">
            <v>0</v>
          </cell>
          <cell r="H54">
            <v>25000</v>
          </cell>
        </row>
        <row r="55">
          <cell r="A55" t="str">
            <v>B1006</v>
          </cell>
          <cell r="B55" t="str">
            <v>Bury Knowle external repair/decoration</v>
          </cell>
          <cell r="C55">
            <v>25000</v>
          </cell>
          <cell r="D55">
            <v>0</v>
          </cell>
          <cell r="E55">
            <v>25000</v>
          </cell>
          <cell r="F55">
            <v>0</v>
          </cell>
          <cell r="G55">
            <v>0</v>
          </cell>
          <cell r="H55">
            <v>25000</v>
          </cell>
        </row>
        <row r="56">
          <cell r="A56" t="str">
            <v>B8050</v>
          </cell>
          <cell r="B56" t="str">
            <v>DDA - Northway Community Centre - various</v>
          </cell>
          <cell r="C56">
            <v>13202</v>
          </cell>
          <cell r="D56">
            <v>0</v>
          </cell>
          <cell r="E56">
            <v>13202</v>
          </cell>
          <cell r="F56">
            <v>0</v>
          </cell>
          <cell r="G56">
            <v>0</v>
          </cell>
          <cell r="H56">
            <v>13202</v>
          </cell>
        </row>
        <row r="57">
          <cell r="A57" t="str">
            <v>B9202</v>
          </cell>
          <cell r="B57" t="str">
            <v>Parks properties (H&amp;S works</v>
          </cell>
          <cell r="C57">
            <v>36648</v>
          </cell>
          <cell r="D57">
            <v>0</v>
          </cell>
          <cell r="E57">
            <v>36648</v>
          </cell>
          <cell r="F57">
            <v>0</v>
          </cell>
          <cell r="G57">
            <v>0</v>
          </cell>
          <cell r="H57">
            <v>36648</v>
          </cell>
        </row>
        <row r="58">
          <cell r="A58" t="str">
            <v>B9203</v>
          </cell>
          <cell r="B58" t="str">
            <v>Community Centres - Water Bylaws and Legionella</v>
          </cell>
          <cell r="C58">
            <v>11500</v>
          </cell>
          <cell r="D58">
            <v>0</v>
          </cell>
          <cell r="E58">
            <v>11500</v>
          </cell>
          <cell r="F58">
            <v>2338.8</v>
          </cell>
          <cell r="G58">
            <v>0</v>
          </cell>
          <cell r="H58">
            <v>11500</v>
          </cell>
        </row>
        <row r="59">
          <cell r="A59" t="str">
            <v>B9205</v>
          </cell>
          <cell r="B59" t="str">
            <v>Town Hall Roof &amp; Guttering repairs</v>
          </cell>
          <cell r="C59">
            <v>17989</v>
          </cell>
          <cell r="D59">
            <v>0</v>
          </cell>
          <cell r="E59">
            <v>17989</v>
          </cell>
          <cell r="F59">
            <v>0</v>
          </cell>
          <cell r="G59">
            <v>0</v>
          </cell>
          <cell r="H59">
            <v>17989</v>
          </cell>
        </row>
        <row r="60">
          <cell r="A60" t="str">
            <v>B9207</v>
          </cell>
          <cell r="B60" t="str">
            <v>Northway Centre Demolition</v>
          </cell>
          <cell r="C60">
            <v>18</v>
          </cell>
          <cell r="D60">
            <v>0</v>
          </cell>
          <cell r="E60">
            <v>18</v>
          </cell>
          <cell r="F60">
            <v>0</v>
          </cell>
          <cell r="G60">
            <v>0</v>
          </cell>
          <cell r="H60">
            <v>18</v>
          </cell>
        </row>
        <row r="61">
          <cell r="A61" t="str">
            <v>C3039</v>
          </cell>
          <cell r="B61" t="str">
            <v>ICT Infrastructure</v>
          </cell>
          <cell r="C61">
            <v>99069</v>
          </cell>
          <cell r="D61">
            <v>0</v>
          </cell>
          <cell r="E61">
            <v>99069</v>
          </cell>
          <cell r="F61">
            <v>-989315.88</v>
          </cell>
          <cell r="G61">
            <v>0</v>
          </cell>
          <cell r="H61">
            <v>99069</v>
          </cell>
        </row>
        <row r="62">
          <cell r="A62" t="str">
            <v>C3041</v>
          </cell>
          <cell r="B62" t="str">
            <v>New server for telephone system</v>
          </cell>
          <cell r="C62">
            <v>18000</v>
          </cell>
          <cell r="D62">
            <v>0</v>
          </cell>
          <cell r="E62">
            <v>18000</v>
          </cell>
          <cell r="F62">
            <v>6712</v>
          </cell>
          <cell r="G62">
            <v>0</v>
          </cell>
          <cell r="H62">
            <v>18000</v>
          </cell>
        </row>
        <row r="63">
          <cell r="A63" t="str">
            <v>C3042</v>
          </cell>
          <cell r="B63" t="str">
            <v>Customer First Programme</v>
          </cell>
          <cell r="C63">
            <v>161000</v>
          </cell>
          <cell r="D63">
            <v>0</v>
          </cell>
          <cell r="E63">
            <v>161000</v>
          </cell>
          <cell r="F63">
            <v>7914.12</v>
          </cell>
          <cell r="G63">
            <v>0</v>
          </cell>
          <cell r="H63">
            <v>161000</v>
          </cell>
        </row>
        <row r="64">
          <cell r="A64" t="str">
            <v>E3511</v>
          </cell>
          <cell r="B64" t="str">
            <v>Renovation Grants</v>
          </cell>
          <cell r="C64">
            <v>84449</v>
          </cell>
          <cell r="D64">
            <v>0</v>
          </cell>
          <cell r="E64">
            <v>84449</v>
          </cell>
          <cell r="F64">
            <v>3153.77</v>
          </cell>
          <cell r="G64">
            <v>0</v>
          </cell>
          <cell r="H64">
            <v>84449</v>
          </cell>
        </row>
        <row r="65">
          <cell r="A65" t="str">
            <v>E3521</v>
          </cell>
          <cell r="B65" t="str">
            <v>Disabled Facilities Grants</v>
          </cell>
          <cell r="C65">
            <v>695000</v>
          </cell>
          <cell r="D65">
            <v>0</v>
          </cell>
          <cell r="E65">
            <v>695000</v>
          </cell>
          <cell r="F65">
            <v>241612.67</v>
          </cell>
          <cell r="G65">
            <v>0</v>
          </cell>
          <cell r="H65">
            <v>695000</v>
          </cell>
        </row>
        <row r="66">
          <cell r="A66" t="str">
            <v>F0010</v>
          </cell>
          <cell r="B66" t="str">
            <v>Gloucester Green Bus Station (Safety Measures)</v>
          </cell>
          <cell r="C66">
            <v>0</v>
          </cell>
          <cell r="D66">
            <v>0</v>
          </cell>
          <cell r="E66">
            <v>0</v>
          </cell>
          <cell r="F66">
            <v>1950</v>
          </cell>
          <cell r="G66">
            <v>0</v>
          </cell>
          <cell r="H66">
            <v>0</v>
          </cell>
        </row>
        <row r="67">
          <cell r="A67" t="str">
            <v>F0011</v>
          </cell>
          <cell r="B67" t="str">
            <v>Pay &amp; Display Parking in the Car Parks</v>
          </cell>
          <cell r="C67">
            <v>0</v>
          </cell>
          <cell r="D67">
            <v>0</v>
          </cell>
          <cell r="E67">
            <v>0</v>
          </cell>
          <cell r="F67">
            <v>60505</v>
          </cell>
          <cell r="G67">
            <v>0</v>
          </cell>
          <cell r="H67">
            <v>0</v>
          </cell>
        </row>
        <row r="68">
          <cell r="A68" t="str">
            <v>F1096</v>
          </cell>
          <cell r="B68" t="str">
            <v>Nth/Sth Works Cycle Route</v>
          </cell>
          <cell r="C68">
            <v>63446</v>
          </cell>
          <cell r="D68">
            <v>0</v>
          </cell>
          <cell r="E68">
            <v>63446</v>
          </cell>
          <cell r="F68">
            <v>0</v>
          </cell>
          <cell r="G68">
            <v>0</v>
          </cell>
          <cell r="H68">
            <v>63446</v>
          </cell>
        </row>
        <row r="69">
          <cell r="A69" t="str">
            <v>F1323</v>
          </cell>
          <cell r="B69" t="str">
            <v>Bridge Over Fiddlers Stream</v>
          </cell>
          <cell r="C69">
            <v>56057</v>
          </cell>
          <cell r="D69">
            <v>0</v>
          </cell>
          <cell r="E69">
            <v>56057</v>
          </cell>
          <cell r="F69">
            <v>0</v>
          </cell>
          <cell r="G69">
            <v>0</v>
          </cell>
          <cell r="H69">
            <v>56057</v>
          </cell>
        </row>
        <row r="70">
          <cell r="A70" t="str">
            <v>F1330</v>
          </cell>
          <cell r="B70" t="str">
            <v>Work of Art Donnington Middle School Site</v>
          </cell>
          <cell r="C70">
            <v>1662</v>
          </cell>
          <cell r="D70">
            <v>0</v>
          </cell>
          <cell r="E70">
            <v>1662</v>
          </cell>
          <cell r="F70">
            <v>84</v>
          </cell>
          <cell r="G70">
            <v>0</v>
          </cell>
          <cell r="H70">
            <v>1662</v>
          </cell>
        </row>
        <row r="71">
          <cell r="A71" t="str">
            <v>F1332</v>
          </cell>
          <cell r="B71" t="str">
            <v>West End Contributions</v>
          </cell>
          <cell r="C71">
            <v>172271</v>
          </cell>
          <cell r="D71">
            <v>0</v>
          </cell>
          <cell r="E71">
            <v>172271</v>
          </cell>
          <cell r="F71">
            <v>0</v>
          </cell>
          <cell r="G71">
            <v>0</v>
          </cell>
          <cell r="H71">
            <v>172271</v>
          </cell>
        </row>
        <row r="72">
          <cell r="A72" t="str">
            <v>F5008</v>
          </cell>
          <cell r="B72" t="str">
            <v>West Oxford Cylce Route</v>
          </cell>
          <cell r="C72">
            <v>154</v>
          </cell>
          <cell r="D72">
            <v>0</v>
          </cell>
          <cell r="E72">
            <v>154</v>
          </cell>
          <cell r="F72">
            <v>0</v>
          </cell>
          <cell r="G72">
            <v>0</v>
          </cell>
          <cell r="H72">
            <v>154</v>
          </cell>
        </row>
        <row r="73">
          <cell r="A73" t="str">
            <v>F5010</v>
          </cell>
          <cell r="B73" t="str">
            <v>Marsh Lane to Stockleys Rd cycle link</v>
          </cell>
          <cell r="C73">
            <v>11721</v>
          </cell>
          <cell r="D73">
            <v>0</v>
          </cell>
          <cell r="E73">
            <v>11721</v>
          </cell>
          <cell r="F73">
            <v>4223.99</v>
          </cell>
          <cell r="G73">
            <v>0</v>
          </cell>
          <cell r="H73">
            <v>11721</v>
          </cell>
        </row>
        <row r="74">
          <cell r="A74" t="str">
            <v>F5011</v>
          </cell>
          <cell r="B74" t="str">
            <v>Barton Cycle Link</v>
          </cell>
          <cell r="C74">
            <v>48225</v>
          </cell>
          <cell r="D74">
            <v>0</v>
          </cell>
          <cell r="E74">
            <v>48225</v>
          </cell>
          <cell r="F74">
            <v>0</v>
          </cell>
          <cell r="G74">
            <v>0</v>
          </cell>
          <cell r="H74">
            <v>48225</v>
          </cell>
        </row>
        <row r="75">
          <cell r="A75" t="str">
            <v>F6002</v>
          </cell>
          <cell r="B75" t="str">
            <v>Temple Cowley Pool - Provision or enhancement of f</v>
          </cell>
          <cell r="C75">
            <v>26473</v>
          </cell>
          <cell r="D75">
            <v>0</v>
          </cell>
          <cell r="E75">
            <v>26473</v>
          </cell>
          <cell r="F75">
            <v>0</v>
          </cell>
          <cell r="G75">
            <v>0</v>
          </cell>
          <cell r="H75">
            <v>26473</v>
          </cell>
        </row>
        <row r="76">
          <cell r="A76" t="str">
            <v>F6006</v>
          </cell>
          <cell r="B76" t="str">
            <v>Sunnymead Park - enhancement of play area faciliti</v>
          </cell>
          <cell r="C76">
            <v>1830</v>
          </cell>
          <cell r="D76">
            <v>0</v>
          </cell>
          <cell r="E76">
            <v>1830</v>
          </cell>
          <cell r="F76">
            <v>0</v>
          </cell>
          <cell r="G76">
            <v>0</v>
          </cell>
          <cell r="H76">
            <v>1830</v>
          </cell>
        </row>
        <row r="77">
          <cell r="A77" t="str">
            <v>F6009</v>
          </cell>
          <cell r="B77" t="str">
            <v>Town Furze Allotments - enhancement of facilities</v>
          </cell>
          <cell r="C77">
            <v>339</v>
          </cell>
          <cell r="D77">
            <v>0</v>
          </cell>
          <cell r="E77">
            <v>339</v>
          </cell>
          <cell r="F77">
            <v>0</v>
          </cell>
          <cell r="G77">
            <v>0</v>
          </cell>
          <cell r="H77">
            <v>339</v>
          </cell>
        </row>
        <row r="78">
          <cell r="A78" t="str">
            <v>F6013</v>
          </cell>
          <cell r="B78" t="str">
            <v>Bullingdon Community Centre - provision or enhance</v>
          </cell>
          <cell r="C78">
            <v>4807</v>
          </cell>
          <cell r="D78">
            <v>0</v>
          </cell>
          <cell r="E78">
            <v>4807</v>
          </cell>
          <cell r="F78">
            <v>0</v>
          </cell>
          <cell r="G78">
            <v>0</v>
          </cell>
          <cell r="H78">
            <v>4807</v>
          </cell>
        </row>
        <row r="79">
          <cell r="A79" t="str">
            <v>F6014</v>
          </cell>
          <cell r="B79" t="str">
            <v>Rose Hill - provision or enhancement of community </v>
          </cell>
          <cell r="C79">
            <v>225820</v>
          </cell>
          <cell r="D79">
            <v>0</v>
          </cell>
          <cell r="E79">
            <v>225820</v>
          </cell>
          <cell r="F79">
            <v>1179.23</v>
          </cell>
          <cell r="G79">
            <v>0</v>
          </cell>
          <cell r="H79">
            <v>225820</v>
          </cell>
        </row>
        <row r="80">
          <cell r="A80" t="str">
            <v>F6015</v>
          </cell>
          <cell r="B80" t="str">
            <v>Slade Area Public Work of Art</v>
          </cell>
          <cell r="C80">
            <v>5993</v>
          </cell>
          <cell r="D80">
            <v>0</v>
          </cell>
          <cell r="E80">
            <v>5993</v>
          </cell>
          <cell r="F80">
            <v>114</v>
          </cell>
          <cell r="G80">
            <v>0</v>
          </cell>
          <cell r="H80">
            <v>5993</v>
          </cell>
        </row>
        <row r="81">
          <cell r="A81" t="str">
            <v>F6016</v>
          </cell>
          <cell r="B81" t="str">
            <v>Jericho Community Centre - New Building</v>
          </cell>
          <cell r="C81">
            <v>100000</v>
          </cell>
          <cell r="D81">
            <v>0</v>
          </cell>
          <cell r="E81">
            <v>100000</v>
          </cell>
          <cell r="F81">
            <v>0</v>
          </cell>
          <cell r="G81">
            <v>0</v>
          </cell>
          <cell r="H81">
            <v>100000</v>
          </cell>
        </row>
        <row r="82">
          <cell r="A82" t="str">
            <v>F7001</v>
          </cell>
          <cell r="B82" t="str">
            <v>Cuddesdon Way - relocation of street sports site</v>
          </cell>
          <cell r="C82">
            <v>60000</v>
          </cell>
          <cell r="D82">
            <v>0</v>
          </cell>
          <cell r="E82">
            <v>60000</v>
          </cell>
          <cell r="F82">
            <v>0</v>
          </cell>
          <cell r="G82">
            <v>0</v>
          </cell>
          <cell r="H82">
            <v>60000</v>
          </cell>
        </row>
        <row r="83">
          <cell r="A83" t="str">
            <v>F7002</v>
          </cell>
          <cell r="B83" t="str">
            <v>Margaret Road Recreation Ground - Improvements</v>
          </cell>
          <cell r="C83">
            <v>7604</v>
          </cell>
          <cell r="D83">
            <v>0</v>
          </cell>
          <cell r="E83">
            <v>7604</v>
          </cell>
          <cell r="F83">
            <v>0</v>
          </cell>
          <cell r="G83">
            <v>0</v>
          </cell>
          <cell r="H83">
            <v>7604</v>
          </cell>
        </row>
        <row r="84">
          <cell r="A84" t="str">
            <v>F7003</v>
          </cell>
          <cell r="B84" t="str">
            <v>Temple Cowley / Blackbird Leys - improvements to i</v>
          </cell>
          <cell r="C84">
            <v>1320</v>
          </cell>
          <cell r="D84">
            <v>0</v>
          </cell>
          <cell r="E84">
            <v>1320</v>
          </cell>
          <cell r="F84">
            <v>0</v>
          </cell>
          <cell r="G84">
            <v>0</v>
          </cell>
          <cell r="H84">
            <v>1320</v>
          </cell>
        </row>
        <row r="85">
          <cell r="A85" t="str">
            <v>F7005</v>
          </cell>
          <cell r="B85" t="str">
            <v>Oxford Road Park, Littlemore - Improvements</v>
          </cell>
          <cell r="C85">
            <v>17624</v>
          </cell>
          <cell r="D85">
            <v>0</v>
          </cell>
          <cell r="E85">
            <v>17624</v>
          </cell>
          <cell r="F85">
            <v>0</v>
          </cell>
          <cell r="G85">
            <v>0</v>
          </cell>
          <cell r="H85">
            <v>17624</v>
          </cell>
        </row>
        <row r="86">
          <cell r="A86" t="str">
            <v>F7006</v>
          </cell>
          <cell r="B86" t="str">
            <v>Work of Art - Littlemore</v>
          </cell>
          <cell r="C86">
            <v>17850</v>
          </cell>
          <cell r="D86">
            <v>0</v>
          </cell>
          <cell r="E86">
            <v>17850</v>
          </cell>
          <cell r="F86">
            <v>133</v>
          </cell>
          <cell r="G86">
            <v>0</v>
          </cell>
          <cell r="H86">
            <v>17850</v>
          </cell>
        </row>
        <row r="87">
          <cell r="A87" t="str">
            <v>F7007</v>
          </cell>
          <cell r="B87" t="str">
            <v>Woodfarm / Headington Community Centre - Improveme</v>
          </cell>
          <cell r="C87">
            <v>19887</v>
          </cell>
          <cell r="D87">
            <v>0</v>
          </cell>
          <cell r="E87">
            <v>19887</v>
          </cell>
          <cell r="F87">
            <v>0</v>
          </cell>
          <cell r="G87">
            <v>0</v>
          </cell>
          <cell r="H87">
            <v>19887</v>
          </cell>
        </row>
        <row r="88">
          <cell r="A88" t="str">
            <v>G1013</v>
          </cell>
          <cell r="B88" t="str">
            <v>Dawson Street Gardens</v>
          </cell>
          <cell r="C88">
            <v>19000</v>
          </cell>
          <cell r="D88">
            <v>0</v>
          </cell>
          <cell r="E88">
            <v>19000</v>
          </cell>
          <cell r="F88">
            <v>0</v>
          </cell>
          <cell r="G88">
            <v>0</v>
          </cell>
          <cell r="H88">
            <v>19000</v>
          </cell>
        </row>
        <row r="89">
          <cell r="A89" t="str">
            <v>G3013</v>
          </cell>
          <cell r="B89" t="str">
            <v>Diamond Place car park footpath extension</v>
          </cell>
          <cell r="C89">
            <v>6324</v>
          </cell>
          <cell r="D89">
            <v>0</v>
          </cell>
          <cell r="E89">
            <v>6324</v>
          </cell>
          <cell r="F89">
            <v>0</v>
          </cell>
          <cell r="G89">
            <v>0</v>
          </cell>
          <cell r="H89">
            <v>6324</v>
          </cell>
        </row>
        <row r="90">
          <cell r="A90" t="str">
            <v>G3014</v>
          </cell>
          <cell r="B90" t="str">
            <v>East Oxford Community Associaltion Improvements</v>
          </cell>
          <cell r="C90">
            <v>7430</v>
          </cell>
          <cell r="D90">
            <v>0</v>
          </cell>
          <cell r="E90">
            <v>7430</v>
          </cell>
          <cell r="F90">
            <v>0</v>
          </cell>
          <cell r="G90">
            <v>0</v>
          </cell>
          <cell r="H90">
            <v>7430</v>
          </cell>
        </row>
        <row r="91">
          <cell r="A91" t="str">
            <v>G3015</v>
          </cell>
          <cell r="B91" t="str">
            <v>NE Marston Croft Road Recreation Ground</v>
          </cell>
          <cell r="C91">
            <v>25000</v>
          </cell>
          <cell r="D91">
            <v>0</v>
          </cell>
          <cell r="E91">
            <v>25000</v>
          </cell>
          <cell r="F91">
            <v>0</v>
          </cell>
          <cell r="G91">
            <v>0</v>
          </cell>
          <cell r="H91">
            <v>25000</v>
          </cell>
        </row>
        <row r="92">
          <cell r="A92" t="str">
            <v>G3016</v>
          </cell>
          <cell r="B92" t="str">
            <v>Peat Moors all weather pitch</v>
          </cell>
          <cell r="C92">
            <v>17000</v>
          </cell>
          <cell r="D92">
            <v>0</v>
          </cell>
          <cell r="E92">
            <v>17000</v>
          </cell>
          <cell r="F92">
            <v>0</v>
          </cell>
          <cell r="G92">
            <v>0</v>
          </cell>
          <cell r="H92">
            <v>17000</v>
          </cell>
        </row>
        <row r="93">
          <cell r="A93" t="str">
            <v>G4006</v>
          </cell>
          <cell r="B93" t="str">
            <v>Florence Park CC Kitchen</v>
          </cell>
          <cell r="C93">
            <v>1411</v>
          </cell>
          <cell r="D93">
            <v>0</v>
          </cell>
          <cell r="E93">
            <v>1411</v>
          </cell>
          <cell r="F93">
            <v>0</v>
          </cell>
          <cell r="G93">
            <v>0</v>
          </cell>
          <cell r="H93">
            <v>1411</v>
          </cell>
        </row>
        <row r="94">
          <cell r="A94" t="str">
            <v>G6010</v>
          </cell>
          <cell r="B94" t="str">
            <v>Mount Place Square Refurbishment</v>
          </cell>
          <cell r="C94">
            <v>2801</v>
          </cell>
          <cell r="D94">
            <v>0</v>
          </cell>
          <cell r="E94">
            <v>2801</v>
          </cell>
          <cell r="F94">
            <v>0</v>
          </cell>
          <cell r="G94">
            <v>0</v>
          </cell>
          <cell r="H94">
            <v>2801</v>
          </cell>
        </row>
        <row r="95">
          <cell r="A95" t="str">
            <v>G6011</v>
          </cell>
          <cell r="B95" t="str">
            <v>St Lukes Church Hall Extension</v>
          </cell>
          <cell r="C95">
            <v>10000</v>
          </cell>
          <cell r="D95">
            <v>0</v>
          </cell>
          <cell r="E95">
            <v>10000</v>
          </cell>
          <cell r="F95">
            <v>0</v>
          </cell>
          <cell r="G95">
            <v>0</v>
          </cell>
          <cell r="H95">
            <v>10000</v>
          </cell>
        </row>
        <row r="96">
          <cell r="A96" t="str">
            <v>G6012</v>
          </cell>
          <cell r="B96" t="str">
            <v>South Oxford Community Centre Main Hall Replacemen</v>
          </cell>
          <cell r="C96">
            <v>1138</v>
          </cell>
          <cell r="D96">
            <v>0</v>
          </cell>
          <cell r="E96">
            <v>1138</v>
          </cell>
          <cell r="F96">
            <v>0</v>
          </cell>
          <cell r="G96">
            <v>0</v>
          </cell>
          <cell r="H96">
            <v>1138</v>
          </cell>
        </row>
        <row r="97">
          <cell r="A97" t="str">
            <v>M5001</v>
          </cell>
          <cell r="B97" t="str">
            <v>Estate Shops Security Measures</v>
          </cell>
          <cell r="C97">
            <v>0</v>
          </cell>
          <cell r="D97">
            <v>0</v>
          </cell>
          <cell r="E97">
            <v>0</v>
          </cell>
          <cell r="F97">
            <v>-582.66</v>
          </cell>
          <cell r="G97">
            <v>0</v>
          </cell>
          <cell r="H97">
            <v>0</v>
          </cell>
        </row>
        <row r="98">
          <cell r="A98" t="str">
            <v>M5002</v>
          </cell>
          <cell r="B98" t="str">
            <v>Refurbishment of Bonn Square</v>
          </cell>
          <cell r="C98">
            <v>859</v>
          </cell>
          <cell r="D98">
            <v>0</v>
          </cell>
          <cell r="E98">
            <v>859</v>
          </cell>
          <cell r="F98">
            <v>131</v>
          </cell>
          <cell r="G98">
            <v>0</v>
          </cell>
          <cell r="H98">
            <v>859</v>
          </cell>
        </row>
        <row r="99">
          <cell r="A99" t="str">
            <v>M5012</v>
          </cell>
          <cell r="B99" t="str">
            <v>Rose Hill Redevelopment</v>
          </cell>
          <cell r="C99">
            <v>0</v>
          </cell>
          <cell r="D99">
            <v>0</v>
          </cell>
          <cell r="E99">
            <v>0</v>
          </cell>
          <cell r="F99">
            <v>56186.43</v>
          </cell>
          <cell r="G99">
            <v>0</v>
          </cell>
          <cell r="H99">
            <v>0</v>
          </cell>
        </row>
        <row r="100">
          <cell r="A100" t="str">
            <v>M5013</v>
          </cell>
          <cell r="B100" t="str">
            <v>Affordable Housing - Garage Sites</v>
          </cell>
          <cell r="C100">
            <v>116429</v>
          </cell>
          <cell r="D100">
            <v>0</v>
          </cell>
          <cell r="E100">
            <v>116429</v>
          </cell>
          <cell r="F100">
            <v>0</v>
          </cell>
          <cell r="G100">
            <v>0</v>
          </cell>
          <cell r="H100">
            <v>116429</v>
          </cell>
        </row>
        <row r="101">
          <cell r="A101" t="str">
            <v>M5014</v>
          </cell>
          <cell r="B101" t="str">
            <v>West End Partnership (Growth Points Grant)</v>
          </cell>
          <cell r="C101">
            <v>897091</v>
          </cell>
          <cell r="D101">
            <v>0</v>
          </cell>
          <cell r="E101">
            <v>897091</v>
          </cell>
          <cell r="F101">
            <v>19125</v>
          </cell>
          <cell r="G101">
            <v>0</v>
          </cell>
          <cell r="H101">
            <v>897091</v>
          </cell>
        </row>
        <row r="102">
          <cell r="A102" t="str">
            <v>M5015</v>
          </cell>
          <cell r="B102" t="str">
            <v>Old Fire Station</v>
          </cell>
          <cell r="C102">
            <v>2561472</v>
          </cell>
          <cell r="D102">
            <v>0</v>
          </cell>
          <cell r="E102">
            <v>2561472</v>
          </cell>
          <cell r="F102">
            <v>1563310.71</v>
          </cell>
          <cell r="G102">
            <v>0</v>
          </cell>
          <cell r="H102">
            <v>2561472</v>
          </cell>
        </row>
        <row r="103">
          <cell r="A103" t="str">
            <v>M5016</v>
          </cell>
          <cell r="B103" t="str">
            <v>Housing Delivery (Funded via New Growth Points)</v>
          </cell>
          <cell r="C103">
            <v>184671</v>
          </cell>
          <cell r="D103">
            <v>0</v>
          </cell>
          <cell r="E103">
            <v>184671</v>
          </cell>
          <cell r="F103">
            <v>35500</v>
          </cell>
          <cell r="G103">
            <v>0</v>
          </cell>
          <cell r="H103">
            <v>184671</v>
          </cell>
        </row>
        <row r="104">
          <cell r="A104" t="str">
            <v>M5018</v>
          </cell>
          <cell r="B104" t="str">
            <v>Wood Farm Community Building Project</v>
          </cell>
          <cell r="C104">
            <v>66000</v>
          </cell>
          <cell r="D104">
            <v>0</v>
          </cell>
          <cell r="E104">
            <v>66000</v>
          </cell>
          <cell r="F104">
            <v>0</v>
          </cell>
          <cell r="G104">
            <v>0</v>
          </cell>
          <cell r="H104">
            <v>66000</v>
          </cell>
        </row>
        <row r="105">
          <cell r="A105" t="str">
            <v>N6361</v>
          </cell>
          <cell r="B105" t="str">
            <v>Kitchens &amp; Bathrooms - MRA 04/05</v>
          </cell>
          <cell r="C105">
            <v>0</v>
          </cell>
          <cell r="D105">
            <v>0</v>
          </cell>
          <cell r="E105">
            <v>0</v>
          </cell>
          <cell r="F105">
            <v>302.85</v>
          </cell>
          <cell r="G105">
            <v>0</v>
          </cell>
          <cell r="H105">
            <v>0</v>
          </cell>
        </row>
        <row r="106">
          <cell r="A106" t="str">
            <v>N6384</v>
          </cell>
          <cell r="B106" t="str">
            <v>Foresters Towers</v>
          </cell>
          <cell r="C106">
            <v>792074</v>
          </cell>
          <cell r="D106">
            <v>0</v>
          </cell>
          <cell r="E106">
            <v>792074</v>
          </cell>
          <cell r="F106">
            <v>907.61</v>
          </cell>
          <cell r="G106">
            <v>0</v>
          </cell>
          <cell r="H106">
            <v>792074</v>
          </cell>
        </row>
        <row r="107">
          <cell r="A107" t="str">
            <v>N6385</v>
          </cell>
          <cell r="B107" t="str">
            <v>Adaptations for disabled</v>
          </cell>
          <cell r="C107">
            <v>805500</v>
          </cell>
          <cell r="D107">
            <v>0</v>
          </cell>
          <cell r="E107">
            <v>805500</v>
          </cell>
          <cell r="F107">
            <v>678104.15</v>
          </cell>
          <cell r="G107">
            <v>0</v>
          </cell>
          <cell r="H107">
            <v>805500</v>
          </cell>
        </row>
        <row r="108">
          <cell r="A108" t="str">
            <v>N6386</v>
          </cell>
          <cell r="B108" t="str">
            <v>Structural</v>
          </cell>
          <cell r="C108">
            <v>100000</v>
          </cell>
          <cell r="D108">
            <v>0</v>
          </cell>
          <cell r="E108">
            <v>100000</v>
          </cell>
          <cell r="F108">
            <v>47810.02</v>
          </cell>
          <cell r="G108">
            <v>0</v>
          </cell>
          <cell r="H108">
            <v>100000</v>
          </cell>
        </row>
        <row r="109">
          <cell r="A109" t="str">
            <v>N6387</v>
          </cell>
          <cell r="B109" t="str">
            <v>Controlled Entry</v>
          </cell>
          <cell r="C109">
            <v>287310</v>
          </cell>
          <cell r="D109">
            <v>0</v>
          </cell>
          <cell r="E109">
            <v>287310</v>
          </cell>
          <cell r="F109">
            <v>211675.97</v>
          </cell>
          <cell r="G109">
            <v>0</v>
          </cell>
          <cell r="H109">
            <v>287310</v>
          </cell>
        </row>
        <row r="110">
          <cell r="A110" t="str">
            <v>N6388</v>
          </cell>
          <cell r="B110" t="str">
            <v>Major Voids</v>
          </cell>
          <cell r="C110">
            <v>805500</v>
          </cell>
          <cell r="D110">
            <v>0</v>
          </cell>
          <cell r="E110">
            <v>805500</v>
          </cell>
          <cell r="F110">
            <v>458711.86</v>
          </cell>
          <cell r="G110">
            <v>0</v>
          </cell>
          <cell r="H110">
            <v>805500</v>
          </cell>
        </row>
        <row r="111">
          <cell r="A111" t="str">
            <v>N6389</v>
          </cell>
          <cell r="B111" t="str">
            <v>Damp-proof works (K&amp;B)</v>
          </cell>
          <cell r="C111">
            <v>100000</v>
          </cell>
          <cell r="D111">
            <v>0</v>
          </cell>
          <cell r="E111">
            <v>100000</v>
          </cell>
          <cell r="F111">
            <v>39872.94</v>
          </cell>
          <cell r="G111">
            <v>0</v>
          </cell>
          <cell r="H111">
            <v>100000</v>
          </cell>
        </row>
        <row r="112">
          <cell r="A112" t="str">
            <v>N6390</v>
          </cell>
          <cell r="B112" t="str">
            <v>Kitchens &amp; Bathrooms</v>
          </cell>
          <cell r="C112">
            <v>3126500</v>
          </cell>
          <cell r="D112">
            <v>0</v>
          </cell>
          <cell r="E112">
            <v>3126500</v>
          </cell>
          <cell r="F112">
            <v>1458212.81</v>
          </cell>
          <cell r="G112">
            <v>0</v>
          </cell>
          <cell r="H112">
            <v>3126500</v>
          </cell>
        </row>
        <row r="113">
          <cell r="A113" t="str">
            <v>N6391</v>
          </cell>
          <cell r="B113" t="str">
            <v>Heating</v>
          </cell>
          <cell r="C113">
            <v>895000</v>
          </cell>
          <cell r="D113">
            <v>0</v>
          </cell>
          <cell r="E113">
            <v>895000</v>
          </cell>
          <cell r="F113">
            <v>781274.42</v>
          </cell>
          <cell r="G113">
            <v>0</v>
          </cell>
          <cell r="H113">
            <v>895000</v>
          </cell>
        </row>
        <row r="114">
          <cell r="A114" t="str">
            <v>N6392</v>
          </cell>
          <cell r="B114" t="str">
            <v>Roofing</v>
          </cell>
          <cell r="C114">
            <v>200000</v>
          </cell>
          <cell r="D114">
            <v>0</v>
          </cell>
          <cell r="E114">
            <v>200000</v>
          </cell>
          <cell r="F114">
            <v>89.72</v>
          </cell>
          <cell r="G114">
            <v>0</v>
          </cell>
          <cell r="H114">
            <v>200000</v>
          </cell>
        </row>
        <row r="115">
          <cell r="A115" t="str">
            <v>N6393</v>
          </cell>
          <cell r="B115" t="str">
            <v>External Doors</v>
          </cell>
          <cell r="C115">
            <v>200000</v>
          </cell>
          <cell r="D115">
            <v>0</v>
          </cell>
          <cell r="E115">
            <v>200000</v>
          </cell>
          <cell r="F115">
            <v>1421.74</v>
          </cell>
          <cell r="G115">
            <v>0</v>
          </cell>
          <cell r="H115">
            <v>200000</v>
          </cell>
        </row>
        <row r="116">
          <cell r="A116" t="str">
            <v>N6394</v>
          </cell>
          <cell r="B116" t="str">
            <v>Windows</v>
          </cell>
          <cell r="C116">
            <v>900000</v>
          </cell>
          <cell r="D116">
            <v>0</v>
          </cell>
          <cell r="E116">
            <v>900000</v>
          </cell>
          <cell r="F116">
            <v>181346.65</v>
          </cell>
          <cell r="G116">
            <v>0</v>
          </cell>
          <cell r="H116">
            <v>900000</v>
          </cell>
        </row>
        <row r="117">
          <cell r="A117" t="str">
            <v>N6395</v>
          </cell>
          <cell r="B117" t="str">
            <v>Electrics</v>
          </cell>
          <cell r="C117">
            <v>179000</v>
          </cell>
          <cell r="D117">
            <v>0</v>
          </cell>
          <cell r="E117">
            <v>179000</v>
          </cell>
          <cell r="F117">
            <v>12109.42</v>
          </cell>
          <cell r="G117">
            <v>0</v>
          </cell>
          <cell r="H117">
            <v>179000</v>
          </cell>
        </row>
        <row r="118">
          <cell r="A118" t="str">
            <v>N6396</v>
          </cell>
          <cell r="B118" t="str">
            <v>Sheltered Blk, George Moore</v>
          </cell>
          <cell r="C118">
            <v>60000</v>
          </cell>
          <cell r="D118">
            <v>0</v>
          </cell>
          <cell r="E118">
            <v>60000</v>
          </cell>
          <cell r="F118">
            <v>0</v>
          </cell>
          <cell r="G118">
            <v>0</v>
          </cell>
          <cell r="H118">
            <v>60000</v>
          </cell>
        </row>
        <row r="119">
          <cell r="A119" t="str">
            <v>N6427</v>
          </cell>
          <cell r="B119" t="str">
            <v>Shops</v>
          </cell>
          <cell r="C119">
            <v>179000</v>
          </cell>
          <cell r="D119">
            <v>0</v>
          </cell>
          <cell r="E119">
            <v>179000</v>
          </cell>
          <cell r="F119">
            <v>0</v>
          </cell>
          <cell r="G119">
            <v>0</v>
          </cell>
          <cell r="H119">
            <v>179000</v>
          </cell>
        </row>
        <row r="120">
          <cell r="A120" t="str">
            <v>N6430</v>
          </cell>
          <cell r="B120" t="str">
            <v>Evenlode tower</v>
          </cell>
          <cell r="C120">
            <v>0</v>
          </cell>
          <cell r="D120">
            <v>0</v>
          </cell>
          <cell r="E120">
            <v>0</v>
          </cell>
          <cell r="F120">
            <v>8720.25</v>
          </cell>
          <cell r="G120">
            <v>0</v>
          </cell>
          <cell r="H120">
            <v>0</v>
          </cell>
        </row>
        <row r="121">
          <cell r="A121" t="str">
            <v>N7006</v>
          </cell>
          <cell r="B121" t="str">
            <v>Northbrook House - Refurbishment</v>
          </cell>
          <cell r="C121">
            <v>0</v>
          </cell>
          <cell r="D121">
            <v>0</v>
          </cell>
          <cell r="E121">
            <v>0</v>
          </cell>
          <cell r="F121">
            <v>1179.13</v>
          </cell>
          <cell r="G121">
            <v>0</v>
          </cell>
          <cell r="H121">
            <v>0</v>
          </cell>
        </row>
        <row r="122">
          <cell r="A122" t="str">
            <v>N7010</v>
          </cell>
          <cell r="B122" t="str">
            <v>Headley House - Refurbishment</v>
          </cell>
          <cell r="C122">
            <v>0</v>
          </cell>
          <cell r="D122">
            <v>0</v>
          </cell>
          <cell r="E122">
            <v>0</v>
          </cell>
          <cell r="F122">
            <v>1532.26</v>
          </cell>
          <cell r="G122">
            <v>0</v>
          </cell>
          <cell r="H122">
            <v>0</v>
          </cell>
        </row>
        <row r="123">
          <cell r="A123" t="str">
            <v>N7011</v>
          </cell>
          <cell r="B123" t="str">
            <v>Cardinal House - Refurbishment</v>
          </cell>
          <cell r="C123">
            <v>1601000</v>
          </cell>
          <cell r="D123">
            <v>0</v>
          </cell>
          <cell r="E123">
            <v>1601000</v>
          </cell>
          <cell r="F123">
            <v>420155.55</v>
          </cell>
          <cell r="G123">
            <v>0</v>
          </cell>
          <cell r="H123">
            <v>1601000</v>
          </cell>
        </row>
        <row r="124">
          <cell r="A124" t="str">
            <v>N7012</v>
          </cell>
          <cell r="B124" t="str">
            <v>Grantham House - Refurbishment</v>
          </cell>
          <cell r="C124">
            <v>129000</v>
          </cell>
          <cell r="D124">
            <v>0</v>
          </cell>
          <cell r="E124">
            <v>129000</v>
          </cell>
          <cell r="F124">
            <v>121</v>
          </cell>
          <cell r="G124">
            <v>0</v>
          </cell>
          <cell r="H124">
            <v>129000</v>
          </cell>
        </row>
        <row r="125">
          <cell r="A125" t="str">
            <v>N7017</v>
          </cell>
          <cell r="B125" t="str">
            <v>Aireys</v>
          </cell>
          <cell r="C125">
            <v>100000</v>
          </cell>
          <cell r="D125">
            <v>0</v>
          </cell>
          <cell r="E125">
            <v>100000</v>
          </cell>
          <cell r="F125">
            <v>17260.73</v>
          </cell>
          <cell r="G125">
            <v>0</v>
          </cell>
          <cell r="H125">
            <v>100000</v>
          </cell>
        </row>
        <row r="126">
          <cell r="A126" t="str">
            <v>N7018</v>
          </cell>
          <cell r="B126" t="str">
            <v>Minox</v>
          </cell>
          <cell r="C126">
            <v>0</v>
          </cell>
          <cell r="D126">
            <v>0</v>
          </cell>
          <cell r="E126">
            <v>0</v>
          </cell>
          <cell r="F126">
            <v>1982.2</v>
          </cell>
          <cell r="G126">
            <v>0</v>
          </cell>
          <cell r="H126">
            <v>0</v>
          </cell>
        </row>
        <row r="127">
          <cell r="A127" t="str">
            <v>N7019</v>
          </cell>
          <cell r="B127" t="str">
            <v>Lambourn Road</v>
          </cell>
          <cell r="C127">
            <v>0</v>
          </cell>
          <cell r="D127">
            <v>0</v>
          </cell>
          <cell r="E127">
            <v>0</v>
          </cell>
          <cell r="F127">
            <v>107995.42</v>
          </cell>
          <cell r="G127">
            <v>0</v>
          </cell>
          <cell r="H127">
            <v>0</v>
          </cell>
        </row>
        <row r="128">
          <cell r="A128" t="str">
            <v>Q2000</v>
          </cell>
          <cell r="B128" t="str">
            <v>Offices for the Future</v>
          </cell>
          <cell r="C128">
            <v>3710429</v>
          </cell>
          <cell r="D128">
            <v>0</v>
          </cell>
          <cell r="E128">
            <v>3710429</v>
          </cell>
          <cell r="F128">
            <v>1866864.28</v>
          </cell>
          <cell r="G128">
            <v>0</v>
          </cell>
          <cell r="H128">
            <v>3710429</v>
          </cell>
        </row>
        <row r="129">
          <cell r="A129" t="str">
            <v>R0005</v>
          </cell>
          <cell r="B129" t="str">
            <v>MT Vehicles/Plant Replacement Prog.</v>
          </cell>
          <cell r="C129">
            <v>783400</v>
          </cell>
          <cell r="D129">
            <v>0</v>
          </cell>
          <cell r="E129">
            <v>783400</v>
          </cell>
          <cell r="F129">
            <v>397177.78</v>
          </cell>
          <cell r="G129">
            <v>0</v>
          </cell>
          <cell r="H129">
            <v>783400</v>
          </cell>
        </row>
        <row r="130">
          <cell r="A130" t="str">
            <v>T2266</v>
          </cell>
          <cell r="B130" t="str">
            <v>Purchase of Brown Bins Waste Recycling</v>
          </cell>
          <cell r="C130">
            <v>0</v>
          </cell>
          <cell r="D130">
            <v>0</v>
          </cell>
          <cell r="E130">
            <v>0</v>
          </cell>
          <cell r="F130">
            <v>181168.51</v>
          </cell>
          <cell r="G130">
            <v>0</v>
          </cell>
          <cell r="H130">
            <v>0</v>
          </cell>
        </row>
        <row r="132">
          <cell r="A132" t="str">
            <v>Z2028</v>
          </cell>
          <cell r="B132" t="str">
            <v>Lambourn Road Properties Re-Development</v>
          </cell>
          <cell r="C132">
            <v>500000</v>
          </cell>
          <cell r="D132">
            <v>0</v>
          </cell>
          <cell r="E132">
            <v>500000</v>
          </cell>
          <cell r="F132">
            <v>0</v>
          </cell>
          <cell r="G132">
            <v>0</v>
          </cell>
          <cell r="H132">
            <v>500000</v>
          </cell>
        </row>
        <row r="133">
          <cell r="A133" t="str">
            <v>Z3008</v>
          </cell>
          <cell r="B133" t="str">
            <v>Contribution to Skate Park</v>
          </cell>
          <cell r="C133">
            <v>50000</v>
          </cell>
          <cell r="D133">
            <v>0</v>
          </cell>
          <cell r="E133">
            <v>50000</v>
          </cell>
          <cell r="F133">
            <v>0</v>
          </cell>
          <cell r="G133">
            <v>0</v>
          </cell>
          <cell r="H133">
            <v>50000</v>
          </cell>
        </row>
        <row r="134">
          <cell r="A134" t="str">
            <v>Z3010</v>
          </cell>
          <cell r="B134" t="str">
            <v>Rosehill/IffleY Play Sites</v>
          </cell>
          <cell r="C134">
            <v>38000</v>
          </cell>
          <cell r="D134">
            <v>0</v>
          </cell>
          <cell r="E134">
            <v>38000</v>
          </cell>
          <cell r="F134">
            <v>0</v>
          </cell>
          <cell r="G134">
            <v>0</v>
          </cell>
          <cell r="H134">
            <v>38000</v>
          </cell>
        </row>
        <row r="135">
          <cell r="A135" t="str">
            <v>Z3513</v>
          </cell>
          <cell r="B135" t="str">
            <v>Jericho community centre (OCC contribution)</v>
          </cell>
          <cell r="C135">
            <v>100000</v>
          </cell>
          <cell r="D135">
            <v>0</v>
          </cell>
          <cell r="E135">
            <v>100000</v>
          </cell>
          <cell r="F135">
            <v>0</v>
          </cell>
          <cell r="G135">
            <v>0</v>
          </cell>
          <cell r="H135">
            <v>100000</v>
          </cell>
        </row>
        <row r="136">
          <cell r="A136" t="str">
            <v>Z3718</v>
          </cell>
          <cell r="B136" t="str">
            <v>St Lukes church - community facilities</v>
          </cell>
          <cell r="C136">
            <v>16362</v>
          </cell>
          <cell r="D136">
            <v>0</v>
          </cell>
          <cell r="E136">
            <v>16362</v>
          </cell>
          <cell r="F136">
            <v>0</v>
          </cell>
          <cell r="G136">
            <v>0</v>
          </cell>
          <cell r="H136">
            <v>16362</v>
          </cell>
        </row>
        <row r="137">
          <cell r="A137" t="str">
            <v>Z7500</v>
          </cell>
          <cell r="B137" t="str">
            <v>Building Improvements (General Fund)</v>
          </cell>
          <cell r="C137">
            <v>889011</v>
          </cell>
          <cell r="D137">
            <v>0</v>
          </cell>
          <cell r="E137">
            <v>889011</v>
          </cell>
          <cell r="F137">
            <v>0</v>
          </cell>
          <cell r="G137">
            <v>0</v>
          </cell>
          <cell r="H137">
            <v>889011</v>
          </cell>
        </row>
        <row r="138">
          <cell r="A138" t="str">
            <v>Z8009</v>
          </cell>
          <cell r="B138" t="str">
            <v>Bury Knowle Park - Improvements</v>
          </cell>
          <cell r="C138">
            <v>14000</v>
          </cell>
          <cell r="D138">
            <v>0</v>
          </cell>
          <cell r="E138">
            <v>14000</v>
          </cell>
          <cell r="F138">
            <v>0</v>
          </cell>
          <cell r="G138">
            <v>0</v>
          </cell>
          <cell r="H138">
            <v>14000</v>
          </cell>
        </row>
        <row r="140">
          <cell r="A140" t="str">
            <v>X0129</v>
          </cell>
          <cell r="B140" t="str">
            <v>DC Against Z3723</v>
          </cell>
          <cell r="C140">
            <v>-100000</v>
          </cell>
          <cell r="D140">
            <v>0</v>
          </cell>
          <cell r="E140">
            <v>-100000</v>
          </cell>
          <cell r="F140">
            <v>0</v>
          </cell>
          <cell r="G140">
            <v>0</v>
          </cell>
          <cell r="H140">
            <v>-100000</v>
          </cell>
        </row>
        <row r="141">
          <cell r="A141" t="str">
            <v>X0246</v>
          </cell>
          <cell r="B141" t="str">
            <v>DRF Against Z7500</v>
          </cell>
          <cell r="C141">
            <v>-700000</v>
          </cell>
          <cell r="D141">
            <v>0</v>
          </cell>
          <cell r="E141">
            <v>-700000</v>
          </cell>
          <cell r="F141">
            <v>0</v>
          </cell>
          <cell r="G141">
            <v>0</v>
          </cell>
          <cell r="H141">
            <v>-700000</v>
          </cell>
        </row>
        <row r="142">
          <cell r="A142" t="str">
            <v>X0267</v>
          </cell>
          <cell r="B142" t="str">
            <v>Prudential Borrowing Against R0005</v>
          </cell>
          <cell r="C142">
            <v>-294500</v>
          </cell>
          <cell r="D142">
            <v>0</v>
          </cell>
          <cell r="E142">
            <v>-294500</v>
          </cell>
          <cell r="F142">
            <v>0</v>
          </cell>
          <cell r="G142">
            <v>0</v>
          </cell>
          <cell r="H142">
            <v>-294500</v>
          </cell>
        </row>
        <row r="143">
          <cell r="A143" t="str">
            <v>X0307</v>
          </cell>
          <cell r="B143" t="str">
            <v>Prudential Borrowing Against A1300</v>
          </cell>
          <cell r="C143">
            <v>-100000</v>
          </cell>
          <cell r="D143">
            <v>0</v>
          </cell>
          <cell r="E143">
            <v>-100000</v>
          </cell>
          <cell r="F143">
            <v>0</v>
          </cell>
          <cell r="G143">
            <v>0</v>
          </cell>
          <cell r="H143">
            <v>-100000</v>
          </cell>
        </row>
        <row r="144">
          <cell r="A144" t="str">
            <v>X0308</v>
          </cell>
          <cell r="B144" t="str">
            <v>Gov Funding against M5015</v>
          </cell>
          <cell r="C144">
            <v>-700000</v>
          </cell>
          <cell r="D144">
            <v>0</v>
          </cell>
          <cell r="E144">
            <v>-700000</v>
          </cell>
          <cell r="F144">
            <v>0</v>
          </cell>
          <cell r="G144">
            <v>0</v>
          </cell>
          <cell r="H144">
            <v>-700000</v>
          </cell>
        </row>
        <row r="145">
          <cell r="A145" t="str">
            <v>X0311</v>
          </cell>
          <cell r="B145" t="str">
            <v>Unfunded Maint Backlog Against Z1017</v>
          </cell>
          <cell r="C145">
            <v>-1152570</v>
          </cell>
          <cell r="D145">
            <v>0</v>
          </cell>
          <cell r="E145">
            <v>-1152570</v>
          </cell>
          <cell r="F145">
            <v>0</v>
          </cell>
          <cell r="G145">
            <v>0</v>
          </cell>
          <cell r="H145">
            <v>-1152570</v>
          </cell>
        </row>
        <row r="146">
          <cell r="A146" t="str">
            <v>X0312</v>
          </cell>
          <cell r="B146" t="str">
            <v>Unfunded Maint Backlog Against Z1018</v>
          </cell>
          <cell r="C146">
            <v>-157075</v>
          </cell>
          <cell r="D146">
            <v>0</v>
          </cell>
          <cell r="E146">
            <v>-157075</v>
          </cell>
          <cell r="F146">
            <v>0</v>
          </cell>
          <cell r="G146">
            <v>0</v>
          </cell>
          <cell r="H146">
            <v>-157075</v>
          </cell>
        </row>
        <row r="147">
          <cell r="A147" t="str">
            <v>X0313</v>
          </cell>
          <cell r="B147" t="str">
            <v>Unfunded Maint Backlog Against Z1019</v>
          </cell>
          <cell r="C147">
            <v>-627315</v>
          </cell>
          <cell r="D147">
            <v>0</v>
          </cell>
          <cell r="E147">
            <v>-627315</v>
          </cell>
          <cell r="F147">
            <v>0</v>
          </cell>
          <cell r="G147">
            <v>0</v>
          </cell>
          <cell r="H147">
            <v>-627315</v>
          </cell>
        </row>
        <row r="148">
          <cell r="A148" t="str">
            <v>X0314</v>
          </cell>
          <cell r="B148" t="str">
            <v>Unfunded Maint Backlog Against Z1020</v>
          </cell>
          <cell r="C148">
            <v>-638410</v>
          </cell>
          <cell r="D148">
            <v>0</v>
          </cell>
          <cell r="E148">
            <v>-638410</v>
          </cell>
          <cell r="F148">
            <v>0</v>
          </cell>
          <cell r="G148">
            <v>0</v>
          </cell>
          <cell r="H148">
            <v>-638410</v>
          </cell>
        </row>
        <row r="149">
          <cell r="A149" t="str">
            <v>X0315</v>
          </cell>
          <cell r="B149" t="str">
            <v>Unfunded Maint backlog Against Z1021</v>
          </cell>
          <cell r="C149">
            <v>-337360</v>
          </cell>
          <cell r="D149">
            <v>0</v>
          </cell>
          <cell r="E149">
            <v>-337360</v>
          </cell>
          <cell r="F149">
            <v>0</v>
          </cell>
          <cell r="G149">
            <v>0</v>
          </cell>
          <cell r="H149">
            <v>-337360</v>
          </cell>
        </row>
        <row r="150">
          <cell r="A150" t="str">
            <v>X0316</v>
          </cell>
          <cell r="B150" t="str">
            <v>Unfunded Maint Backlog Against Z1022</v>
          </cell>
          <cell r="C150">
            <v>-539550</v>
          </cell>
          <cell r="D150">
            <v>0</v>
          </cell>
          <cell r="E150">
            <v>-539550</v>
          </cell>
          <cell r="F150">
            <v>0</v>
          </cell>
          <cell r="G150">
            <v>0</v>
          </cell>
          <cell r="H150">
            <v>-539550</v>
          </cell>
        </row>
        <row r="151">
          <cell r="A151" t="str">
            <v>X0317</v>
          </cell>
          <cell r="B151" t="str">
            <v>Unfunded maint Backlog Against Z1023</v>
          </cell>
          <cell r="C151">
            <v>-292263</v>
          </cell>
          <cell r="D151">
            <v>0</v>
          </cell>
          <cell r="E151">
            <v>-292263</v>
          </cell>
          <cell r="F151">
            <v>0</v>
          </cell>
          <cell r="G151">
            <v>0</v>
          </cell>
          <cell r="H151">
            <v>-292263</v>
          </cell>
        </row>
        <row r="152">
          <cell r="A152" t="str">
            <v>X0331</v>
          </cell>
          <cell r="B152" t="str">
            <v>DRF Against C3039</v>
          </cell>
          <cell r="C152">
            <v>-100000</v>
          </cell>
          <cell r="D152">
            <v>0</v>
          </cell>
          <cell r="E152">
            <v>-100000</v>
          </cell>
          <cell r="F152">
            <v>0</v>
          </cell>
          <cell r="G152">
            <v>0</v>
          </cell>
          <cell r="H152">
            <v>-100000</v>
          </cell>
        </row>
        <row r="153">
          <cell r="A153" t="str">
            <v>X0395</v>
          </cell>
          <cell r="B153" t="str">
            <v>DRF Against E3521</v>
          </cell>
          <cell r="C153">
            <v>-250000</v>
          </cell>
          <cell r="D153">
            <v>0</v>
          </cell>
          <cell r="E153">
            <v>-250000</v>
          </cell>
          <cell r="F153">
            <v>0</v>
          </cell>
          <cell r="G153">
            <v>0</v>
          </cell>
          <cell r="H153">
            <v>-250000</v>
          </cell>
        </row>
        <row r="154">
          <cell r="A154" t="str">
            <v>X0409</v>
          </cell>
          <cell r="B154" t="str">
            <v>Prudential Borrowing Against Z0001</v>
          </cell>
          <cell r="C154">
            <v>-2010000</v>
          </cell>
          <cell r="D154">
            <v>0</v>
          </cell>
          <cell r="E154">
            <v>-2010000</v>
          </cell>
          <cell r="F154">
            <v>0</v>
          </cell>
          <cell r="G154">
            <v>0</v>
          </cell>
          <cell r="H154">
            <v>-2010000</v>
          </cell>
        </row>
        <row r="155">
          <cell r="A155" t="str">
            <v>X0411</v>
          </cell>
          <cell r="B155" t="str">
            <v>Prudential Borrowing Against Z3017</v>
          </cell>
          <cell r="C155">
            <v>-2011000</v>
          </cell>
          <cell r="D155">
            <v>0</v>
          </cell>
          <cell r="E155">
            <v>-2011000</v>
          </cell>
          <cell r="F155">
            <v>0</v>
          </cell>
          <cell r="G155">
            <v>0</v>
          </cell>
          <cell r="H155">
            <v>-2011000</v>
          </cell>
        </row>
        <row r="156">
          <cell r="A156" t="str">
            <v>X0412</v>
          </cell>
          <cell r="B156" t="str">
            <v>Prudential Borrowing Against Z3018</v>
          </cell>
          <cell r="C156">
            <v>-2915000</v>
          </cell>
          <cell r="D156">
            <v>0</v>
          </cell>
          <cell r="E156">
            <v>-2915000</v>
          </cell>
          <cell r="F156">
            <v>0</v>
          </cell>
          <cell r="G156">
            <v>0</v>
          </cell>
          <cell r="H156">
            <v>-2915000</v>
          </cell>
        </row>
        <row r="157">
          <cell r="A157" t="str">
            <v>X0417</v>
          </cell>
          <cell r="B157" t="str">
            <v>Capital Receipt Against Z3513</v>
          </cell>
          <cell r="C157">
            <v>-100000</v>
          </cell>
          <cell r="D157">
            <v>0</v>
          </cell>
          <cell r="E157">
            <v>-100000</v>
          </cell>
          <cell r="F157">
            <v>0</v>
          </cell>
          <cell r="G157">
            <v>0</v>
          </cell>
          <cell r="H157">
            <v>-100000</v>
          </cell>
        </row>
        <row r="158">
          <cell r="A158" t="str">
            <v>X0418</v>
          </cell>
          <cell r="B158" t="str">
            <v>GVMT Funding Against E3521</v>
          </cell>
          <cell r="C158">
            <v>-390000</v>
          </cell>
          <cell r="D158">
            <v>0</v>
          </cell>
          <cell r="E158">
            <v>-390000</v>
          </cell>
          <cell r="F158">
            <v>0</v>
          </cell>
          <cell r="G158">
            <v>0</v>
          </cell>
          <cell r="H158">
            <v>-390000</v>
          </cell>
        </row>
        <row r="159">
          <cell r="A159" t="str">
            <v>X0425</v>
          </cell>
          <cell r="B159" t="str">
            <v>DRF Against E3511</v>
          </cell>
          <cell r="C159">
            <v>-50000</v>
          </cell>
          <cell r="D159">
            <v>0</v>
          </cell>
          <cell r="E159">
            <v>-50000</v>
          </cell>
          <cell r="F159">
            <v>0</v>
          </cell>
          <cell r="G159">
            <v>0</v>
          </cell>
          <cell r="H159">
            <v>-50000</v>
          </cell>
        </row>
        <row r="161">
          <cell r="F161">
            <v>8943285.1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8"/>
  <sheetViews>
    <sheetView tabSelected="1" zoomScale="80" zoomScaleNormal="80" workbookViewId="0" topLeftCell="A1">
      <pane ySplit="5" topLeftCell="BM210" activePane="bottomLeft" state="frozen"/>
      <selection pane="topLeft" activeCell="A1" sqref="A1"/>
      <selection pane="bottomLeft" activeCell="C183" sqref="C183:C202"/>
    </sheetView>
  </sheetViews>
  <sheetFormatPr defaultColWidth="9.140625" defaultRowHeight="12.75" outlineLevelRow="1"/>
  <cols>
    <col min="1" max="1" width="71.421875" style="4" customWidth="1"/>
    <col min="2" max="2" width="15.00390625" style="2" customWidth="1"/>
    <col min="3" max="3" width="15.28125" style="2" customWidth="1"/>
    <col min="4" max="4" width="14.00390625" style="2" customWidth="1"/>
    <col min="5" max="5" width="12.28125" style="3" customWidth="1"/>
    <col min="6" max="6" width="13.8515625" style="2" customWidth="1"/>
    <col min="7" max="7" width="17.28125" style="2" customWidth="1"/>
    <col min="8" max="8" width="13.8515625" style="2" customWidth="1"/>
    <col min="9" max="9" width="16.28125" style="2" customWidth="1"/>
    <col min="10" max="10" width="20.57421875" style="4" hidden="1" customWidth="1"/>
    <col min="11" max="11" width="50.7109375" style="48" hidden="1" customWidth="1"/>
    <col min="12" max="12" width="44.421875" style="5" customWidth="1"/>
    <col min="13" max="16384" width="44.421875" style="4" customWidth="1"/>
  </cols>
  <sheetData>
    <row r="1" ht="12.75"/>
    <row r="2" ht="15.75">
      <c r="G2" s="63" t="s">
        <v>311</v>
      </c>
    </row>
    <row r="3" ht="15.75">
      <c r="A3" s="1" t="s">
        <v>0</v>
      </c>
    </row>
    <row r="4" ht="12.75"/>
    <row r="5" spans="1:12" s="12" customFormat="1" ht="51">
      <c r="A5" s="6" t="s">
        <v>1</v>
      </c>
      <c r="B5" s="7" t="s">
        <v>2</v>
      </c>
      <c r="C5" s="7" t="s">
        <v>3</v>
      </c>
      <c r="D5" s="7" t="s">
        <v>4</v>
      </c>
      <c r="E5" s="8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10" t="s">
        <v>10</v>
      </c>
      <c r="K5" s="10" t="s">
        <v>11</v>
      </c>
      <c r="L5" s="11"/>
    </row>
    <row r="6" spans="2:12" s="13" customFormat="1" ht="16.5" customHeight="1">
      <c r="B6" s="14"/>
      <c r="C6" s="14"/>
      <c r="D6" s="14"/>
      <c r="E6" s="15"/>
      <c r="F6" s="14"/>
      <c r="G6" s="14"/>
      <c r="H6" s="14"/>
      <c r="I6" s="14"/>
      <c r="L6" s="16"/>
    </row>
    <row r="7" spans="1:12" ht="12.75" outlineLevel="1">
      <c r="A7" s="17" t="s">
        <v>12</v>
      </c>
      <c r="B7" s="2">
        <v>661</v>
      </c>
      <c r="C7" s="2">
        <v>661</v>
      </c>
      <c r="D7" s="18">
        <f>IF(ISNA(VLOOKUP(LEFT($A7,5),'[2]Agresso Spend 300911'!$A:$H,6,FALSE)),0,(VLOOKUP(LEFT($A7,5),'[2]Agresso Spend 300911'!$A:$H,6,FALSE)))</f>
        <v>294</v>
      </c>
      <c r="E7" s="3">
        <f>D7/C7</f>
        <v>0.44478063540090773</v>
      </c>
      <c r="F7" s="2">
        <v>294</v>
      </c>
      <c r="G7" s="2">
        <f aca="true" t="shared" si="0" ref="G7:G21">F7-C7</f>
        <v>-367</v>
      </c>
      <c r="H7" s="2">
        <f aca="true" t="shared" si="1" ref="H7:H14">G7</f>
        <v>-367</v>
      </c>
      <c r="J7" s="19" t="s">
        <v>13</v>
      </c>
      <c r="K7" s="49" t="s">
        <v>14</v>
      </c>
      <c r="L7" s="5" t="s">
        <v>15</v>
      </c>
    </row>
    <row r="8" spans="1:12" s="17" customFormat="1" ht="12.75" outlineLevel="1">
      <c r="A8" s="17" t="s">
        <v>16</v>
      </c>
      <c r="B8" s="2">
        <v>0</v>
      </c>
      <c r="C8" s="2">
        <v>0</v>
      </c>
      <c r="D8" s="18">
        <f>IF(ISNA(VLOOKUP(LEFT($A8,5),'[2]Agresso Spend 300911'!$A:$H,6,FALSE)),0,(VLOOKUP(LEFT($A8,5),'[2]Agresso Spend 300911'!$A:$H,6,FALSE)))</f>
        <v>1950</v>
      </c>
      <c r="E8" s="3">
        <v>0</v>
      </c>
      <c r="F8" s="2">
        <v>0</v>
      </c>
      <c r="G8" s="2">
        <f t="shared" si="0"/>
        <v>0</v>
      </c>
      <c r="H8" s="2">
        <f t="shared" si="1"/>
        <v>0</v>
      </c>
      <c r="I8" s="2"/>
      <c r="J8" s="19" t="s">
        <v>17</v>
      </c>
      <c r="K8" s="49" t="s">
        <v>18</v>
      </c>
      <c r="L8" s="5" t="s">
        <v>15</v>
      </c>
    </row>
    <row r="9" spans="1:12" ht="12.75" outlineLevel="1">
      <c r="A9" s="17" t="s">
        <v>19</v>
      </c>
      <c r="B9" s="2">
        <v>-0.38000000000010914</v>
      </c>
      <c r="C9" s="2">
        <v>-0.38000000000010914</v>
      </c>
      <c r="D9" s="18">
        <f>IF(ISNA(VLOOKUP(LEFT($A9,5),'[2]Agresso Spend 300911'!$A:$H,6,FALSE)),0,(VLOOKUP(LEFT($A9,5),'[2]Agresso Spend 300911'!$A:$H,6,FALSE)))</f>
        <v>0</v>
      </c>
      <c r="E9" s="3">
        <f aca="true" t="shared" si="2" ref="E9:E14">D9/C9</f>
        <v>0</v>
      </c>
      <c r="F9" s="2">
        <v>0</v>
      </c>
      <c r="G9" s="2">
        <f t="shared" si="0"/>
        <v>0.38000000000010914</v>
      </c>
      <c r="H9" s="2">
        <f t="shared" si="1"/>
        <v>0.38000000000010914</v>
      </c>
      <c r="J9" s="19" t="s">
        <v>13</v>
      </c>
      <c r="K9" s="49" t="s">
        <v>20</v>
      </c>
      <c r="L9" s="5" t="s">
        <v>15</v>
      </c>
    </row>
    <row r="10" spans="1:12" ht="12.75" outlineLevel="1">
      <c r="A10" s="17" t="s">
        <v>21</v>
      </c>
      <c r="B10" s="2">
        <v>1662</v>
      </c>
      <c r="C10" s="2">
        <v>1662</v>
      </c>
      <c r="D10" s="18">
        <f>IF(ISNA(VLOOKUP(LEFT($A10,5),'[2]Agresso Spend 300911'!$A:$H,6,FALSE)),0,(VLOOKUP(LEFT($A10,5),'[2]Agresso Spend 300911'!$A:$H,6,FALSE)))</f>
        <v>84</v>
      </c>
      <c r="E10" s="3">
        <f t="shared" si="2"/>
        <v>0.05054151624548736</v>
      </c>
      <c r="F10" s="2">
        <f aca="true" t="shared" si="3" ref="F10:F17">C10</f>
        <v>1662</v>
      </c>
      <c r="G10" s="2">
        <f t="shared" si="0"/>
        <v>0</v>
      </c>
      <c r="H10" s="2">
        <f t="shared" si="1"/>
        <v>0</v>
      </c>
      <c r="J10" s="19" t="s">
        <v>13</v>
      </c>
      <c r="K10" s="49" t="s">
        <v>22</v>
      </c>
      <c r="L10" s="5" t="s">
        <v>15</v>
      </c>
    </row>
    <row r="11" spans="1:12" s="17" customFormat="1" ht="12.75" outlineLevel="1">
      <c r="A11" s="17" t="s">
        <v>23</v>
      </c>
      <c r="B11" s="2">
        <v>172271</v>
      </c>
      <c r="C11" s="2">
        <v>172271</v>
      </c>
      <c r="D11" s="18">
        <f>IF(ISNA(VLOOKUP(LEFT($A11,5),'[2]Agresso Spend 300911'!$A:$H,6,FALSE)),0,(VLOOKUP(LEFT($A11,5),'[2]Agresso Spend 300911'!$A:$H,6,FALSE)))</f>
        <v>0</v>
      </c>
      <c r="E11" s="3">
        <f t="shared" si="2"/>
        <v>0</v>
      </c>
      <c r="F11" s="2">
        <f t="shared" si="3"/>
        <v>172271</v>
      </c>
      <c r="G11" s="2">
        <f t="shared" si="0"/>
        <v>0</v>
      </c>
      <c r="H11" s="2">
        <f t="shared" si="1"/>
        <v>0</v>
      </c>
      <c r="I11" s="2"/>
      <c r="J11" s="19" t="s">
        <v>13</v>
      </c>
      <c r="K11" s="49" t="s">
        <v>24</v>
      </c>
      <c r="L11" s="5" t="s">
        <v>15</v>
      </c>
    </row>
    <row r="12" spans="1:12" ht="12.75" outlineLevel="1">
      <c r="A12" s="17" t="s">
        <v>25</v>
      </c>
      <c r="B12" s="2">
        <v>5993</v>
      </c>
      <c r="C12" s="2">
        <v>5993</v>
      </c>
      <c r="D12" s="18">
        <f>IF(ISNA(VLOOKUP(LEFT($A12,5),'[2]Agresso Spend 300911'!$A:$H,6,FALSE)),0,(VLOOKUP(LEFT($A12,5),'[2]Agresso Spend 300911'!$A:$H,6,FALSE)))</f>
        <v>114</v>
      </c>
      <c r="E12" s="3">
        <f t="shared" si="2"/>
        <v>0.019022192557984315</v>
      </c>
      <c r="F12" s="2">
        <f t="shared" si="3"/>
        <v>5993</v>
      </c>
      <c r="G12" s="2">
        <f t="shared" si="0"/>
        <v>0</v>
      </c>
      <c r="H12" s="2">
        <f t="shared" si="1"/>
        <v>0</v>
      </c>
      <c r="J12" s="19" t="s">
        <v>13</v>
      </c>
      <c r="K12" s="49" t="s">
        <v>14</v>
      </c>
      <c r="L12" s="5" t="s">
        <v>15</v>
      </c>
    </row>
    <row r="13" spans="1:12" ht="12.75" outlineLevel="1">
      <c r="A13" s="17" t="s">
        <v>26</v>
      </c>
      <c r="B13" s="2">
        <v>17624</v>
      </c>
      <c r="C13" s="2">
        <v>17624</v>
      </c>
      <c r="D13" s="18">
        <f>IF(ISNA(VLOOKUP(LEFT($A13,5),'[2]Agresso Spend 300911'!$A:$H,6,FALSE)),0,(VLOOKUP(LEFT($A13,5),'[2]Agresso Spend 300911'!$A:$H,6,FALSE)))</f>
        <v>0</v>
      </c>
      <c r="E13" s="3">
        <f t="shared" si="2"/>
        <v>0</v>
      </c>
      <c r="F13" s="2">
        <f t="shared" si="3"/>
        <v>17624</v>
      </c>
      <c r="G13" s="2">
        <f t="shared" si="0"/>
        <v>0</v>
      </c>
      <c r="H13" s="2">
        <f t="shared" si="1"/>
        <v>0</v>
      </c>
      <c r="J13" s="19" t="s">
        <v>13</v>
      </c>
      <c r="K13" s="49" t="s">
        <v>22</v>
      </c>
      <c r="L13" s="5" t="s">
        <v>15</v>
      </c>
    </row>
    <row r="14" spans="1:12" ht="12.75" outlineLevel="1">
      <c r="A14" s="17" t="s">
        <v>27</v>
      </c>
      <c r="B14" s="2">
        <v>17850</v>
      </c>
      <c r="C14" s="2">
        <v>17850</v>
      </c>
      <c r="D14" s="18">
        <f>IF(ISNA(VLOOKUP(LEFT($A14,5),'[2]Agresso Spend 300911'!$A:$H,6,FALSE)),0,(VLOOKUP(LEFT($A14,5),'[2]Agresso Spend 300911'!$A:$H,6,FALSE)))</f>
        <v>133</v>
      </c>
      <c r="E14" s="3">
        <f t="shared" si="2"/>
        <v>0.007450980392156863</v>
      </c>
      <c r="F14" s="2">
        <f t="shared" si="3"/>
        <v>17850</v>
      </c>
      <c r="G14" s="2">
        <f t="shared" si="0"/>
        <v>0</v>
      </c>
      <c r="H14" s="2">
        <f t="shared" si="1"/>
        <v>0</v>
      </c>
      <c r="J14" s="19" t="s">
        <v>13</v>
      </c>
      <c r="K14" s="49" t="s">
        <v>22</v>
      </c>
      <c r="L14" s="5" t="s">
        <v>15</v>
      </c>
    </row>
    <row r="15" spans="1:11" ht="12.75" outlineLevel="1">
      <c r="A15" s="17" t="s">
        <v>28</v>
      </c>
      <c r="B15" s="2">
        <v>0</v>
      </c>
      <c r="C15" s="2">
        <v>12500</v>
      </c>
      <c r="D15" s="18">
        <f>IF(ISNA(VLOOKUP(LEFT($A15,5),'[2]Agresso Spend 300911'!$A:$H,6,FALSE)),0,(VLOOKUP(LEFT($A15,5),'[2]Agresso Spend 300911'!$A:$H,6,FALSE)))</f>
        <v>0</v>
      </c>
      <c r="E15" s="3">
        <f aca="true" t="shared" si="4" ref="E15:E21">D15/C15</f>
        <v>0</v>
      </c>
      <c r="F15" s="2">
        <f t="shared" si="3"/>
        <v>12500</v>
      </c>
      <c r="G15" s="2">
        <f t="shared" si="0"/>
        <v>0</v>
      </c>
      <c r="H15" s="2">
        <f aca="true" t="shared" si="5" ref="H15:H20">G15</f>
        <v>0</v>
      </c>
      <c r="J15" s="19" t="s">
        <v>13</v>
      </c>
      <c r="K15" s="49" t="s">
        <v>29</v>
      </c>
    </row>
    <row r="16" spans="1:11" ht="12.75" outlineLevel="1">
      <c r="A16" s="17" t="s">
        <v>28</v>
      </c>
      <c r="B16" s="2">
        <v>0</v>
      </c>
      <c r="C16" s="2">
        <v>3229</v>
      </c>
      <c r="D16" s="18">
        <f>IF(ISNA(VLOOKUP(LEFT($A16,5),'[2]Agresso Spend 300911'!$A:$H,6,FALSE)),0,(VLOOKUP(LEFT($A16,5),'[2]Agresso Spend 300911'!$A:$H,6,FALSE)))</f>
        <v>0</v>
      </c>
      <c r="E16" s="3">
        <f t="shared" si="4"/>
        <v>0</v>
      </c>
      <c r="F16" s="2">
        <f t="shared" si="3"/>
        <v>3229</v>
      </c>
      <c r="G16" s="2">
        <f t="shared" si="0"/>
        <v>0</v>
      </c>
      <c r="H16" s="2">
        <f t="shared" si="5"/>
        <v>0</v>
      </c>
      <c r="J16" s="19" t="s">
        <v>13</v>
      </c>
      <c r="K16" s="49" t="s">
        <v>29</v>
      </c>
    </row>
    <row r="17" spans="1:11" ht="12.75" outlineLevel="1">
      <c r="A17" s="17" t="s">
        <v>30</v>
      </c>
      <c r="B17" s="2">
        <v>0</v>
      </c>
      <c r="C17" s="2">
        <v>60000</v>
      </c>
      <c r="D17" s="18">
        <f>IF(ISNA(VLOOKUP(LEFT($A17,5),'[2]Agresso Spend 300911'!$A:$H,6,FALSE)),0,(VLOOKUP(LEFT($A17,5),'[2]Agresso Spend 300911'!$A:$H,6,FALSE)))</f>
        <v>0</v>
      </c>
      <c r="E17" s="3">
        <f t="shared" si="4"/>
        <v>0</v>
      </c>
      <c r="F17" s="2">
        <f t="shared" si="3"/>
        <v>60000</v>
      </c>
      <c r="G17" s="2">
        <f t="shared" si="0"/>
        <v>0</v>
      </c>
      <c r="H17" s="2">
        <f t="shared" si="5"/>
        <v>0</v>
      </c>
      <c r="J17" s="19" t="s">
        <v>31</v>
      </c>
      <c r="K17" s="49" t="s">
        <v>29</v>
      </c>
    </row>
    <row r="18" spans="1:12" s="17" customFormat="1" ht="12.75" outlineLevel="1">
      <c r="A18" s="17" t="s">
        <v>32</v>
      </c>
      <c r="B18" s="2">
        <v>859</v>
      </c>
      <c r="C18" s="2">
        <v>859</v>
      </c>
      <c r="D18" s="18">
        <f>IF(ISNA(VLOOKUP(LEFT(A18,5),'[2]Agresso Spend 300911'!A:H,6,FALSE)),0,(VLOOKUP(LEFT(A18,5),'[2]Agresso Spend 300911'!A:H,6,FALSE)))</f>
        <v>131</v>
      </c>
      <c r="E18" s="3">
        <f t="shared" si="4"/>
        <v>0.15250291036088476</v>
      </c>
      <c r="F18" s="2">
        <v>859</v>
      </c>
      <c r="G18" s="2">
        <f t="shared" si="0"/>
        <v>0</v>
      </c>
      <c r="H18" s="2">
        <f t="shared" si="5"/>
        <v>0</v>
      </c>
      <c r="I18" s="2"/>
      <c r="J18" s="19" t="s">
        <v>33</v>
      </c>
      <c r="K18" s="49" t="s">
        <v>34</v>
      </c>
      <c r="L18" s="5" t="s">
        <v>15</v>
      </c>
    </row>
    <row r="19" spans="1:12" ht="12.75" outlineLevel="1">
      <c r="A19" s="17" t="s">
        <v>35</v>
      </c>
      <c r="B19" s="2">
        <v>162091</v>
      </c>
      <c r="C19" s="2">
        <v>162091</v>
      </c>
      <c r="D19" s="18">
        <f>IF(ISNA(VLOOKUP(LEFT(A19,5),'[2]Agresso Spend 300911'!A:H,6,FALSE)),0,(VLOOKUP(LEFT(A19,5),'[2]Agresso Spend 300911'!A:H,6,FALSE)))</f>
        <v>19125</v>
      </c>
      <c r="E19" s="3">
        <f t="shared" si="4"/>
        <v>0.11798927762799909</v>
      </c>
      <c r="F19" s="2">
        <v>162091</v>
      </c>
      <c r="G19" s="2">
        <f t="shared" si="0"/>
        <v>0</v>
      </c>
      <c r="H19" s="2">
        <f t="shared" si="5"/>
        <v>0</v>
      </c>
      <c r="J19" s="19" t="s">
        <v>33</v>
      </c>
      <c r="L19" s="5" t="s">
        <v>15</v>
      </c>
    </row>
    <row r="20" spans="1:12" ht="12.75" outlineLevel="1">
      <c r="A20" s="17" t="s">
        <v>36</v>
      </c>
      <c r="B20" s="2">
        <v>184671</v>
      </c>
      <c r="C20" s="2">
        <v>184671</v>
      </c>
      <c r="D20" s="18">
        <f>IF(ISNA(VLOOKUP(LEFT(A20,5),'[2]Agresso Spend 300911'!A:H,6,FALSE)),0,(VLOOKUP(LEFT(A20,5),'[2]Agresso Spend 300911'!A:H,6,FALSE)))</f>
        <v>35500</v>
      </c>
      <c r="E20" s="3">
        <f t="shared" si="4"/>
        <v>0.1922337562475971</v>
      </c>
      <c r="F20" s="2">
        <v>184671</v>
      </c>
      <c r="G20" s="2">
        <f t="shared" si="0"/>
        <v>0</v>
      </c>
      <c r="H20" s="2">
        <f t="shared" si="5"/>
        <v>0</v>
      </c>
      <c r="J20" s="19" t="s">
        <v>33</v>
      </c>
      <c r="L20" s="5" t="s">
        <v>15</v>
      </c>
    </row>
    <row r="21" spans="1:12" s="17" customFormat="1" ht="38.25" outlineLevel="1">
      <c r="A21" s="17" t="s">
        <v>37</v>
      </c>
      <c r="B21" s="18">
        <v>500000</v>
      </c>
      <c r="C21" s="18">
        <v>500000</v>
      </c>
      <c r="D21" s="18">
        <f>IF(ISNA(VLOOKUP(LEFT(A21,5),'[2]Agresso Spend 300911'!A:H,6,FALSE)),0,(VLOOKUP(LEFT(A21,5),'[2]Agresso Spend 300911'!A:H,6,FALSE)))</f>
        <v>0</v>
      </c>
      <c r="E21" s="3">
        <f t="shared" si="4"/>
        <v>0</v>
      </c>
      <c r="F21" s="18">
        <v>0</v>
      </c>
      <c r="G21" s="2">
        <f t="shared" si="0"/>
        <v>-500000</v>
      </c>
      <c r="H21" s="2">
        <v>0</v>
      </c>
      <c r="I21" s="2">
        <f>G21</f>
        <v>-500000</v>
      </c>
      <c r="J21" s="19" t="s">
        <v>38</v>
      </c>
      <c r="K21" s="49" t="s">
        <v>39</v>
      </c>
      <c r="L21" s="5" t="s">
        <v>15</v>
      </c>
    </row>
    <row r="22" spans="2:12" s="17" customFormat="1" ht="12.75" outlineLevel="1">
      <c r="B22" s="18"/>
      <c r="C22" s="18"/>
      <c r="D22" s="18"/>
      <c r="E22" s="3"/>
      <c r="F22" s="18"/>
      <c r="G22" s="2"/>
      <c r="H22" s="2"/>
      <c r="I22" s="2"/>
      <c r="J22" s="19"/>
      <c r="K22" s="49"/>
      <c r="L22" s="5"/>
    </row>
    <row r="23" spans="1:12" s="25" customFormat="1" ht="12.75">
      <c r="A23" s="21" t="s">
        <v>40</v>
      </c>
      <c r="B23" s="22">
        <v>1063681.62</v>
      </c>
      <c r="C23" s="22">
        <v>1139410.62</v>
      </c>
      <c r="D23" s="22">
        <f>SUM(D7:D21)</f>
        <v>57331</v>
      </c>
      <c r="E23" s="23">
        <f>D23/C23</f>
        <v>0.050316364437607224</v>
      </c>
      <c r="F23" s="22">
        <f>SUM(F7:F21)</f>
        <v>639044</v>
      </c>
      <c r="G23" s="22">
        <f>SUM(G7:G21)</f>
        <v>-500366.62</v>
      </c>
      <c r="H23" s="22">
        <f>SUM(H7:H21)</f>
        <v>-366.6199999999999</v>
      </c>
      <c r="I23" s="22">
        <f>SUM(I7:I21)</f>
        <v>-500000</v>
      </c>
      <c r="J23" s="24"/>
      <c r="K23" s="50"/>
      <c r="L23" s="5" t="s">
        <v>15</v>
      </c>
    </row>
    <row r="24" spans="2:12" s="26" customFormat="1" ht="12.75">
      <c r="B24" s="27"/>
      <c r="C24" s="27"/>
      <c r="D24" s="27"/>
      <c r="E24" s="28"/>
      <c r="F24" s="27"/>
      <c r="G24" s="27"/>
      <c r="H24" s="27"/>
      <c r="I24" s="27"/>
      <c r="J24" s="29"/>
      <c r="K24" s="51"/>
      <c r="L24" s="30"/>
    </row>
    <row r="25" spans="1:12" ht="25.5" outlineLevel="1">
      <c r="A25" s="17" t="s">
        <v>41</v>
      </c>
      <c r="B25" s="18">
        <v>84449</v>
      </c>
      <c r="C25" s="18">
        <v>84449</v>
      </c>
      <c r="D25" s="18">
        <f>IF(ISNA(VLOOKUP(LEFT(A25,5),'[2]Agresso Spend 300911'!A:H,6,FALSE)),0,(VLOOKUP(LEFT(A25,5),'[2]Agresso Spend 300911'!A:H,6,FALSE)))</f>
        <v>3153.77</v>
      </c>
      <c r="E25" s="31">
        <f>D25/C25</f>
        <v>0.03734526163720115</v>
      </c>
      <c r="F25" s="18">
        <f>C25</f>
        <v>84449</v>
      </c>
      <c r="G25" s="2">
        <f>F25-C25</f>
        <v>0</v>
      </c>
      <c r="H25" s="18">
        <f>G25</f>
        <v>0</v>
      </c>
      <c r="I25" s="18"/>
      <c r="J25" s="32" t="s">
        <v>42</v>
      </c>
      <c r="K25" s="52" t="s">
        <v>43</v>
      </c>
      <c r="L25" s="5" t="s">
        <v>15</v>
      </c>
    </row>
    <row r="26" spans="1:12" ht="25.5" outlineLevel="1">
      <c r="A26" s="17" t="s">
        <v>44</v>
      </c>
      <c r="B26" s="18">
        <v>640000</v>
      </c>
      <c r="C26" s="18">
        <v>695000</v>
      </c>
      <c r="D26" s="18">
        <f>IF(ISNA(VLOOKUP(LEFT(A26,5),'[2]Agresso Spend 300911'!A:H,6,FALSE)),0,(VLOOKUP(LEFT(A26,5),'[2]Agresso Spend 300911'!A:H,6,FALSE)))</f>
        <v>241612.67</v>
      </c>
      <c r="E26" s="31">
        <f>D26/C26</f>
        <v>0.3476441294964029</v>
      </c>
      <c r="F26" s="18">
        <f>C26</f>
        <v>695000</v>
      </c>
      <c r="G26" s="2">
        <f>F26-C26</f>
        <v>0</v>
      </c>
      <c r="H26" s="18"/>
      <c r="I26" s="18">
        <f>G26</f>
        <v>0</v>
      </c>
      <c r="J26" s="32" t="s">
        <v>42</v>
      </c>
      <c r="K26" s="52" t="s">
        <v>45</v>
      </c>
      <c r="L26" s="5" t="s">
        <v>15</v>
      </c>
    </row>
    <row r="27" spans="1:11" ht="12.75" outlineLevel="1">
      <c r="A27" s="17"/>
      <c r="B27" s="18"/>
      <c r="C27" s="18"/>
      <c r="D27" s="18"/>
      <c r="E27" s="31"/>
      <c r="F27" s="18"/>
      <c r="G27" s="18"/>
      <c r="H27" s="18"/>
      <c r="I27" s="18"/>
      <c r="J27" s="32"/>
      <c r="K27" s="52"/>
    </row>
    <row r="28" spans="1:12" s="25" customFormat="1" ht="12.75">
      <c r="A28" s="21" t="s">
        <v>46</v>
      </c>
      <c r="B28" s="22">
        <v>724449</v>
      </c>
      <c r="C28" s="22">
        <v>779449</v>
      </c>
      <c r="D28" s="22">
        <f>SUM(D25:D26)</f>
        <v>244766.44</v>
      </c>
      <c r="E28" s="23">
        <f>D28/C28</f>
        <v>0.3140249586566921</v>
      </c>
      <c r="F28" s="22">
        <f>SUM(F25:F26)</f>
        <v>779449</v>
      </c>
      <c r="G28" s="22">
        <f>SUM(G25:G26)</f>
        <v>0</v>
      </c>
      <c r="H28" s="22">
        <f>SUM(H25:H26)</f>
        <v>0</v>
      </c>
      <c r="I28" s="22">
        <f>SUM(I25:I26)</f>
        <v>0</v>
      </c>
      <c r="J28" s="24"/>
      <c r="K28" s="50"/>
      <c r="L28" s="5" t="s">
        <v>15</v>
      </c>
    </row>
    <row r="29" spans="2:12" s="26" customFormat="1" ht="12.75">
      <c r="B29" s="27"/>
      <c r="C29" s="27"/>
      <c r="D29" s="27"/>
      <c r="E29" s="28"/>
      <c r="F29" s="27"/>
      <c r="G29" s="27"/>
      <c r="H29" s="27"/>
      <c r="I29" s="27"/>
      <c r="J29" s="29"/>
      <c r="K29" s="51"/>
      <c r="L29" s="30"/>
    </row>
    <row r="30" spans="1:12" ht="25.5" outlineLevel="1">
      <c r="A30" s="17" t="s">
        <v>47</v>
      </c>
      <c r="B30" s="18">
        <v>63446</v>
      </c>
      <c r="C30" s="18">
        <v>63446</v>
      </c>
      <c r="D30" s="18">
        <f>IF(ISNA(VLOOKUP(LEFT(A30,5),'[2]Agresso Spend 300911'!A:H,6,FALSE)),0,(VLOOKUP(LEFT(A30,5),'[2]Agresso Spend 300911'!A:H,6,FALSE)))</f>
        <v>0</v>
      </c>
      <c r="E30" s="31">
        <f aca="true" t="shared" si="6" ref="E30:E35">D30/C30</f>
        <v>0</v>
      </c>
      <c r="F30" s="18">
        <v>63446</v>
      </c>
      <c r="G30" s="2">
        <f aca="true" t="shared" si="7" ref="G30:G41">F30-C30</f>
        <v>0</v>
      </c>
      <c r="H30" s="18">
        <f>G30</f>
        <v>0</v>
      </c>
      <c r="I30" s="18"/>
      <c r="J30" s="32"/>
      <c r="K30" s="53" t="s">
        <v>48</v>
      </c>
      <c r="L30" s="5" t="s">
        <v>15</v>
      </c>
    </row>
    <row r="31" spans="1:12" ht="25.5" outlineLevel="1">
      <c r="A31" s="17" t="s">
        <v>49</v>
      </c>
      <c r="B31" s="18">
        <v>154</v>
      </c>
      <c r="C31" s="18">
        <v>154</v>
      </c>
      <c r="D31" s="18">
        <f>IF(ISNA(VLOOKUP(LEFT(A31,5),'[2]Agresso Spend 300911'!A:H,6,FALSE)),0,(VLOOKUP(LEFT(A31,5),'[2]Agresso Spend 300911'!A:H,6,FALSE)))</f>
        <v>0</v>
      </c>
      <c r="E31" s="31">
        <f t="shared" si="6"/>
        <v>0</v>
      </c>
      <c r="F31" s="18">
        <v>154</v>
      </c>
      <c r="G31" s="2">
        <f t="shared" si="7"/>
        <v>0</v>
      </c>
      <c r="H31" s="18">
        <f>G31</f>
        <v>0</v>
      </c>
      <c r="I31" s="18"/>
      <c r="J31" s="32"/>
      <c r="K31" s="53" t="s">
        <v>48</v>
      </c>
      <c r="L31" s="5" t="s">
        <v>15</v>
      </c>
    </row>
    <row r="32" spans="1:12" ht="25.5" outlineLevel="1">
      <c r="A32" s="17" t="s">
        <v>50</v>
      </c>
      <c r="B32" s="18">
        <v>11721</v>
      </c>
      <c r="C32" s="18">
        <v>11721</v>
      </c>
      <c r="D32" s="18">
        <f>IF(ISNA(VLOOKUP(LEFT(A32,5),'[2]Agresso Spend 300911'!A:H,6,FALSE)),0,(VLOOKUP(LEFT(A32,5),'[2]Agresso Spend 300911'!A:H,6,FALSE)))</f>
        <v>4223.99</v>
      </c>
      <c r="E32" s="31">
        <f t="shared" si="6"/>
        <v>0.36037795409947954</v>
      </c>
      <c r="F32" s="18">
        <v>11721</v>
      </c>
      <c r="G32" s="2">
        <f t="shared" si="7"/>
        <v>0</v>
      </c>
      <c r="H32" s="18">
        <f>G32</f>
        <v>0</v>
      </c>
      <c r="I32" s="18"/>
      <c r="J32" s="32"/>
      <c r="K32" s="53" t="s">
        <v>48</v>
      </c>
      <c r="L32" s="5" t="s">
        <v>15</v>
      </c>
    </row>
    <row r="33" spans="1:12" ht="25.5" outlineLevel="1">
      <c r="A33" s="17" t="s">
        <v>51</v>
      </c>
      <c r="B33" s="18">
        <v>48225</v>
      </c>
      <c r="C33" s="18">
        <v>48225</v>
      </c>
      <c r="D33" s="18">
        <f>IF(ISNA(VLOOKUP(LEFT(A33,5),'[2]Agresso Spend 300911'!A:H,6,FALSE)),0,(VLOOKUP(LEFT(A33,5),'[2]Agresso Spend 300911'!A:H,6,FALSE)))</f>
        <v>0</v>
      </c>
      <c r="E33" s="31">
        <f t="shared" si="6"/>
        <v>0</v>
      </c>
      <c r="F33" s="18">
        <v>48225</v>
      </c>
      <c r="G33" s="2">
        <f t="shared" si="7"/>
        <v>0</v>
      </c>
      <c r="H33" s="18">
        <f>G33</f>
        <v>0</v>
      </c>
      <c r="I33" s="18"/>
      <c r="J33" s="32"/>
      <c r="K33" s="53" t="s">
        <v>48</v>
      </c>
      <c r="L33" s="5" t="s">
        <v>15</v>
      </c>
    </row>
    <row r="34" spans="1:12" ht="12.75" outlineLevel="1">
      <c r="A34" s="17" t="s">
        <v>52</v>
      </c>
      <c r="B34" s="18">
        <v>4807</v>
      </c>
      <c r="C34" s="18">
        <v>4807</v>
      </c>
      <c r="D34" s="18">
        <f>IF(ISNA(VLOOKUP(LEFT(A34,5),'[2]Agresso Spend 300911'!A:H,6,FALSE)),0,(VLOOKUP(LEFT(A34,5),'[2]Agresso Spend 300911'!A:H,6,FALSE)))</f>
        <v>0</v>
      </c>
      <c r="E34" s="31">
        <f t="shared" si="6"/>
        <v>0</v>
      </c>
      <c r="F34" s="18">
        <v>25193</v>
      </c>
      <c r="G34" s="2">
        <f t="shared" si="7"/>
        <v>20386</v>
      </c>
      <c r="H34" s="18"/>
      <c r="I34" s="18">
        <f>G34</f>
        <v>20386</v>
      </c>
      <c r="J34" s="32" t="s">
        <v>53</v>
      </c>
      <c r="K34" s="48" t="s">
        <v>54</v>
      </c>
      <c r="L34" s="5" t="s">
        <v>15</v>
      </c>
    </row>
    <row r="35" spans="1:12" ht="25.5" outlineLevel="1">
      <c r="A35" s="17" t="s">
        <v>55</v>
      </c>
      <c r="B35" s="18">
        <v>225820</v>
      </c>
      <c r="C35" s="18">
        <v>225820</v>
      </c>
      <c r="D35" s="18">
        <f>IF(ISNA(VLOOKUP(LEFT(A35,5),'[2]Agresso Spend 300911'!A:H,6,FALSE)),0,(VLOOKUP(LEFT(A35,5),'[2]Agresso Spend 300911'!A:H,6,FALSE)))</f>
        <v>1179.23</v>
      </c>
      <c r="E35" s="31">
        <f t="shared" si="6"/>
        <v>0.00522199096625631</v>
      </c>
      <c r="F35" s="18">
        <v>225820</v>
      </c>
      <c r="G35" s="2">
        <f t="shared" si="7"/>
        <v>0</v>
      </c>
      <c r="H35" s="18">
        <f>G35</f>
        <v>0</v>
      </c>
      <c r="I35" s="18"/>
      <c r="J35" s="32" t="s">
        <v>53</v>
      </c>
      <c r="K35" s="48" t="s">
        <v>56</v>
      </c>
      <c r="L35" s="5" t="s">
        <v>15</v>
      </c>
    </row>
    <row r="36" spans="1:11" ht="25.5" outlineLevel="1">
      <c r="A36" t="s">
        <v>57</v>
      </c>
      <c r="B36" s="2">
        <v>0</v>
      </c>
      <c r="C36" s="2">
        <v>0</v>
      </c>
      <c r="D36" s="18">
        <f>IF(ISNA(VLOOKUP(LEFT(A36,5),'[2]Agresso Spend 300911'!A:H,6,FALSE)),0,(VLOOKUP(LEFT(A36,5),'[2]Agresso Spend 300911'!A:H,6,FALSE)))</f>
        <v>0</v>
      </c>
      <c r="E36" s="3">
        <v>0</v>
      </c>
      <c r="F36" s="2">
        <v>0</v>
      </c>
      <c r="G36" s="2">
        <f t="shared" si="7"/>
        <v>0</v>
      </c>
      <c r="H36" s="18">
        <f>G36</f>
        <v>0</v>
      </c>
      <c r="I36" s="18"/>
      <c r="K36" s="48" t="s">
        <v>58</v>
      </c>
    </row>
    <row r="37" spans="1:12" ht="12.75" outlineLevel="1">
      <c r="A37" s="17" t="s">
        <v>59</v>
      </c>
      <c r="B37" s="18">
        <v>19887</v>
      </c>
      <c r="C37" s="18">
        <v>19887</v>
      </c>
      <c r="D37" s="18">
        <f>IF(ISNA(VLOOKUP(LEFT(A37,5),'[2]Agresso Spend 300911'!A:H,6,FALSE)),0,(VLOOKUP(LEFT(A37,5),'[2]Agresso Spend 300911'!A:H,6,FALSE)))</f>
        <v>0</v>
      </c>
      <c r="E37" s="31">
        <f>D37/C37</f>
        <v>0</v>
      </c>
      <c r="F37" s="18">
        <v>19887</v>
      </c>
      <c r="G37" s="2">
        <f t="shared" si="7"/>
        <v>0</v>
      </c>
      <c r="H37" s="18">
        <f>G37</f>
        <v>0</v>
      </c>
      <c r="I37" s="18"/>
      <c r="J37" s="32" t="s">
        <v>53</v>
      </c>
      <c r="K37" s="48" t="s">
        <v>60</v>
      </c>
      <c r="L37" s="5" t="s">
        <v>15</v>
      </c>
    </row>
    <row r="38" spans="1:12" ht="12.75" outlineLevel="1">
      <c r="A38" s="17" t="s">
        <v>61</v>
      </c>
      <c r="B38" s="18">
        <v>6324</v>
      </c>
      <c r="C38" s="18">
        <v>6324</v>
      </c>
      <c r="D38" s="18">
        <f>IF(ISNA(VLOOKUP(LEFT(A38,5),'[2]Agresso Spend 300911'!A:H,6,FALSE)),0,(VLOOKUP(LEFT(A38,5),'[2]Agresso Spend 300911'!A:H,6,FALSE)))</f>
        <v>0</v>
      </c>
      <c r="E38" s="31">
        <f>D38/C38</f>
        <v>0</v>
      </c>
      <c r="F38" s="18">
        <v>6324</v>
      </c>
      <c r="G38" s="2">
        <f t="shared" si="7"/>
        <v>0</v>
      </c>
      <c r="H38" s="18">
        <f aca="true" t="shared" si="8" ref="H38:H43">G38</f>
        <v>0</v>
      </c>
      <c r="I38" s="18"/>
      <c r="J38" s="32" t="s">
        <v>53</v>
      </c>
      <c r="K38" s="54" t="s">
        <v>62</v>
      </c>
      <c r="L38" s="5" t="s">
        <v>15</v>
      </c>
    </row>
    <row r="39" spans="1:12" ht="12.75" outlineLevel="1">
      <c r="A39" s="17" t="s">
        <v>63</v>
      </c>
      <c r="B39" s="18">
        <v>2550</v>
      </c>
      <c r="C39" s="18">
        <v>2550</v>
      </c>
      <c r="D39" s="18">
        <f>IF(ISNA(VLOOKUP(LEFT(A39,5),'[2]Agresso Spend 300911'!A:H,6,FALSE)),0,(VLOOKUP(LEFT(A39,5),'[2]Agresso Spend 300911'!A:H,6,FALSE)))</f>
        <v>0</v>
      </c>
      <c r="E39" s="31">
        <f>D39/C39</f>
        <v>0</v>
      </c>
      <c r="F39" s="18">
        <v>2550</v>
      </c>
      <c r="G39" s="2">
        <f t="shared" si="7"/>
        <v>0</v>
      </c>
      <c r="H39" s="18">
        <f t="shared" si="8"/>
        <v>0</v>
      </c>
      <c r="I39" s="18"/>
      <c r="J39" s="32" t="s">
        <v>53</v>
      </c>
      <c r="K39" s="48" t="s">
        <v>64</v>
      </c>
      <c r="L39" s="5" t="s">
        <v>15</v>
      </c>
    </row>
    <row r="40" spans="1:12" ht="12.75" outlineLevel="1">
      <c r="A40" s="17" t="s">
        <v>65</v>
      </c>
      <c r="B40" s="18">
        <v>1411</v>
      </c>
      <c r="C40" s="18">
        <v>1411</v>
      </c>
      <c r="D40" s="18">
        <f>IF(ISNA(VLOOKUP(LEFT(A40,5),'[2]Agresso Spend 300911'!A:H,6,FALSE)),0,(VLOOKUP(LEFT(A40,5),'[2]Agresso Spend 300911'!A:H,6,FALSE)))</f>
        <v>0</v>
      </c>
      <c r="E40" s="31">
        <f>D40/C40</f>
        <v>0</v>
      </c>
      <c r="F40" s="18">
        <v>1411</v>
      </c>
      <c r="G40" s="2">
        <f t="shared" si="7"/>
        <v>0</v>
      </c>
      <c r="H40" s="18">
        <f t="shared" si="8"/>
        <v>0</v>
      </c>
      <c r="I40" s="18"/>
      <c r="J40" s="32" t="s">
        <v>53</v>
      </c>
      <c r="K40" s="48" t="s">
        <v>66</v>
      </c>
      <c r="L40" s="5" t="s">
        <v>15</v>
      </c>
    </row>
    <row r="41" spans="1:12" ht="12.75" outlineLevel="1">
      <c r="A41" s="17" t="s">
        <v>67</v>
      </c>
      <c r="B41" s="18">
        <v>1401</v>
      </c>
      <c r="C41" s="18">
        <v>1401</v>
      </c>
      <c r="D41" s="18">
        <f>IF(ISNA(VLOOKUP(LEFT(A41,5),'[2]Agresso Spend 300911'!A:H,6,FALSE)),0,(VLOOKUP(LEFT(A41,5),'[2]Agresso Spend 300911'!A:H,6,FALSE)))</f>
        <v>0</v>
      </c>
      <c r="E41" s="31">
        <f>D41/C41</f>
        <v>0</v>
      </c>
      <c r="F41" s="18">
        <f>C41</f>
        <v>1401</v>
      </c>
      <c r="G41" s="2">
        <f t="shared" si="7"/>
        <v>0</v>
      </c>
      <c r="H41" s="18">
        <f t="shared" si="8"/>
        <v>0</v>
      </c>
      <c r="I41" s="18"/>
      <c r="J41" s="32" t="s">
        <v>53</v>
      </c>
      <c r="K41" s="48" t="s">
        <v>68</v>
      </c>
      <c r="L41" s="5" t="s">
        <v>15</v>
      </c>
    </row>
    <row r="42" spans="1:11" ht="25.5" outlineLevel="1">
      <c r="A42" t="s">
        <v>69</v>
      </c>
      <c r="D42" s="18">
        <f>IF(ISNA(VLOOKUP(LEFT(A42,5),'[2]Agresso Spend 300911'!A:H,6,FALSE)),0,(VLOOKUP(LEFT(A42,5),'[2]Agresso Spend 300911'!A:H,6,FALSE)))</f>
        <v>0</v>
      </c>
      <c r="G42" s="18">
        <f>F42-B42</f>
        <v>0</v>
      </c>
      <c r="H42" s="18">
        <f t="shared" si="8"/>
        <v>0</v>
      </c>
      <c r="I42" s="18"/>
      <c r="J42" s="4" t="s">
        <v>53</v>
      </c>
      <c r="K42" s="48" t="s">
        <v>70</v>
      </c>
    </row>
    <row r="43" spans="1:12" ht="12.75" outlineLevel="1">
      <c r="A43" s="17" t="s">
        <v>71</v>
      </c>
      <c r="B43" s="18">
        <v>9238</v>
      </c>
      <c r="C43" s="18">
        <v>9238</v>
      </c>
      <c r="D43" s="18">
        <f>IF(ISNA(VLOOKUP(LEFT(A43,5),'[2]Agresso Spend 300911'!A:H,6,FALSE)),0,(VLOOKUP(LEFT(A43,5),'[2]Agresso Spend 300911'!A:H,6,FALSE)))</f>
        <v>0</v>
      </c>
      <c r="E43" s="31">
        <f>D43/C43</f>
        <v>0</v>
      </c>
      <c r="F43" s="18">
        <v>9238</v>
      </c>
      <c r="G43" s="2">
        <f>F43-C43</f>
        <v>0</v>
      </c>
      <c r="H43" s="18">
        <f t="shared" si="8"/>
        <v>0</v>
      </c>
      <c r="I43" s="18"/>
      <c r="J43" s="32" t="s">
        <v>53</v>
      </c>
      <c r="K43" s="48" t="s">
        <v>72</v>
      </c>
      <c r="L43" s="5" t="s">
        <v>15</v>
      </c>
    </row>
    <row r="44" spans="1:10" ht="12.75" outlineLevel="1">
      <c r="A44" s="17"/>
      <c r="B44" s="18"/>
      <c r="C44" s="18"/>
      <c r="D44" s="18"/>
      <c r="E44" s="31"/>
      <c r="F44" s="18"/>
      <c r="H44" s="18"/>
      <c r="I44" s="18"/>
      <c r="J44" s="32"/>
    </row>
    <row r="45" spans="1:11" ht="12.75" outlineLevel="1">
      <c r="A45" t="s">
        <v>73</v>
      </c>
      <c r="B45" s="2">
        <v>0</v>
      </c>
      <c r="C45" s="2">
        <v>0</v>
      </c>
      <c r="D45" s="18">
        <f>IF(ISNA(VLOOKUP(LEFT(A45,5),'[2]Agresso Spend 300911'!A:H,6,FALSE)),0,(VLOOKUP(LEFT(A45,5),'[2]Agresso Spend 300911'!A:H,6,FALSE)))</f>
        <v>-582.66</v>
      </c>
      <c r="E45" s="3">
        <v>0</v>
      </c>
      <c r="F45" s="2">
        <v>0</v>
      </c>
      <c r="G45" s="2">
        <f aca="true" t="shared" si="9" ref="G45:G50">F45-C45</f>
        <v>0</v>
      </c>
      <c r="H45" s="18">
        <f>G45</f>
        <v>0</v>
      </c>
      <c r="I45" s="18"/>
      <c r="J45" s="4" t="s">
        <v>74</v>
      </c>
      <c r="K45" s="48" t="s">
        <v>75</v>
      </c>
    </row>
    <row r="46" spans="1:12" ht="25.5" outlineLevel="1">
      <c r="A46" s="17" t="s">
        <v>76</v>
      </c>
      <c r="B46" s="18">
        <v>0</v>
      </c>
      <c r="C46" s="18">
        <v>0</v>
      </c>
      <c r="D46" s="18">
        <f>IF(ISNA(VLOOKUP(LEFT(A46,5),'[2]Agresso Spend 300911'!A:H,6,FALSE)),0,(VLOOKUP(LEFT(A46,5),'[2]Agresso Spend 300911'!A:H,6,FALSE)))</f>
        <v>56186.43</v>
      </c>
      <c r="E46" s="31">
        <v>0</v>
      </c>
      <c r="F46" s="18">
        <v>1023</v>
      </c>
      <c r="G46" s="2">
        <f t="shared" si="9"/>
        <v>1023</v>
      </c>
      <c r="H46" s="18"/>
      <c r="I46" s="18">
        <f>G46</f>
        <v>1023</v>
      </c>
      <c r="J46" s="32" t="s">
        <v>74</v>
      </c>
      <c r="K46" s="48" t="s">
        <v>77</v>
      </c>
      <c r="L46" s="5" t="s">
        <v>15</v>
      </c>
    </row>
    <row r="47" spans="1:12" ht="12.75" outlineLevel="1">
      <c r="A47" s="17" t="s">
        <v>78</v>
      </c>
      <c r="B47" s="18">
        <v>116429</v>
      </c>
      <c r="C47" s="18">
        <v>116429</v>
      </c>
      <c r="D47" s="18">
        <f>IF(ISNA(VLOOKUP(LEFT(A47,5),'[2]Agresso Spend 300911'!A:H,6,FALSE)),0,(VLOOKUP(LEFT(A47,5),'[2]Agresso Spend 300911'!A:H,6,FALSE)))</f>
        <v>0</v>
      </c>
      <c r="E47" s="31">
        <f>D47/C47</f>
        <v>0</v>
      </c>
      <c r="F47" s="18">
        <v>116429</v>
      </c>
      <c r="G47" s="2">
        <f t="shared" si="9"/>
        <v>0</v>
      </c>
      <c r="H47" s="18">
        <f>G47</f>
        <v>0</v>
      </c>
      <c r="I47" s="18"/>
      <c r="J47" s="32" t="s">
        <v>74</v>
      </c>
      <c r="K47" s="48" t="s">
        <v>22</v>
      </c>
      <c r="L47" s="5" t="s">
        <v>15</v>
      </c>
    </row>
    <row r="48" spans="1:12" ht="25.5" outlineLevel="1">
      <c r="A48" s="17" t="s">
        <v>79</v>
      </c>
      <c r="B48" s="18">
        <v>56000</v>
      </c>
      <c r="C48" s="18">
        <v>56000</v>
      </c>
      <c r="D48" s="18">
        <f>IF(ISNA(VLOOKUP(LEFT(A48,5),'[2]Agresso Spend 300911'!A:H,6,FALSE)),0,(VLOOKUP(LEFT(A48,5),'[2]Agresso Spend 300911'!A:H,6,FALSE)))</f>
        <v>0</v>
      </c>
      <c r="E48" s="31">
        <f>D48/C48</f>
        <v>0</v>
      </c>
      <c r="F48" s="18">
        <v>56000</v>
      </c>
      <c r="G48" s="2">
        <f t="shared" si="9"/>
        <v>0</v>
      </c>
      <c r="H48" s="18">
        <f>G48</f>
        <v>0</v>
      </c>
      <c r="I48" s="18"/>
      <c r="J48" s="32" t="s">
        <v>53</v>
      </c>
      <c r="K48" s="48" t="s">
        <v>80</v>
      </c>
      <c r="L48" s="5" t="s">
        <v>15</v>
      </c>
    </row>
    <row r="49" spans="1:12" ht="12.75" outlineLevel="1">
      <c r="A49" s="17" t="s">
        <v>81</v>
      </c>
      <c r="B49" s="18">
        <v>16362</v>
      </c>
      <c r="C49" s="18">
        <v>16362</v>
      </c>
      <c r="D49" s="18">
        <f>IF(ISNA(VLOOKUP(LEFT(A49,5),'[2]Agresso Spend 300911'!A:H,6,FALSE)),0,(VLOOKUP(LEFT(A49,5),'[2]Agresso Spend 300911'!A:H,6,FALSE)))</f>
        <v>0</v>
      </c>
      <c r="E49" s="31">
        <f>D49/C49</f>
        <v>0</v>
      </c>
      <c r="F49" s="18">
        <v>16362</v>
      </c>
      <c r="G49" s="2">
        <f t="shared" si="9"/>
        <v>0</v>
      </c>
      <c r="H49" s="18">
        <f>G49</f>
        <v>0</v>
      </c>
      <c r="I49" s="18"/>
      <c r="J49" s="32" t="s">
        <v>53</v>
      </c>
      <c r="K49" s="48" t="s">
        <v>82</v>
      </c>
      <c r="L49" s="5" t="s">
        <v>15</v>
      </c>
    </row>
    <row r="50" spans="1:12" s="17" customFormat="1" ht="38.25" outlineLevel="1">
      <c r="A50" s="17" t="s">
        <v>83</v>
      </c>
      <c r="B50" s="18">
        <v>2353494</v>
      </c>
      <c r="C50" s="18">
        <v>2353494</v>
      </c>
      <c r="D50" s="18">
        <f>IF(ISNA(VLOOKUP(LEFT(A50,5),'[2]Agresso Spend 300911'!A:H,6,FALSE)),0,(VLOOKUP(LEFT(A50,5),'[2]Agresso Spend 300911'!A:H,6,FALSE)))</f>
        <v>1563310.71</v>
      </c>
      <c r="E50" s="31">
        <f>D50/C50</f>
        <v>0.6642509859808438</v>
      </c>
      <c r="F50" s="18">
        <f>2353494+300000</f>
        <v>2653494</v>
      </c>
      <c r="G50" s="2">
        <f t="shared" si="9"/>
        <v>300000</v>
      </c>
      <c r="H50" s="18"/>
      <c r="I50" s="18">
        <f>G50</f>
        <v>300000</v>
      </c>
      <c r="J50" s="32" t="s">
        <v>84</v>
      </c>
      <c r="K50" s="49" t="s">
        <v>85</v>
      </c>
      <c r="L50" s="5" t="s">
        <v>15</v>
      </c>
    </row>
    <row r="51" spans="1:10" ht="12.75" outlineLevel="1">
      <c r="A51" s="17"/>
      <c r="B51" s="18"/>
      <c r="C51" s="18"/>
      <c r="D51" s="18"/>
      <c r="E51" s="31"/>
      <c r="F51" s="18"/>
      <c r="G51" s="18"/>
      <c r="H51" s="18"/>
      <c r="I51" s="18"/>
      <c r="J51" s="32"/>
    </row>
    <row r="52" spans="1:12" s="25" customFormat="1" ht="12.75">
      <c r="A52" s="21" t="s">
        <v>86</v>
      </c>
      <c r="B52" s="22">
        <v>583775</v>
      </c>
      <c r="C52" s="22">
        <v>2937269</v>
      </c>
      <c r="D52" s="22">
        <f>SUM(D30:D50)</f>
        <v>1624317.7</v>
      </c>
      <c r="E52" s="23">
        <f>D52/C52</f>
        <v>0.5530027042126546</v>
      </c>
      <c r="F52" s="22">
        <f>SUM(F30:F50)</f>
        <v>3258678</v>
      </c>
      <c r="G52" s="22">
        <f>SUM(G30:G50)</f>
        <v>321409</v>
      </c>
      <c r="H52" s="22">
        <f>SUM(H30:H50)</f>
        <v>0</v>
      </c>
      <c r="I52" s="22">
        <f>SUM(I30:I50)</f>
        <v>321409</v>
      </c>
      <c r="J52" s="24"/>
      <c r="K52" s="50"/>
      <c r="L52" s="5" t="s">
        <v>15</v>
      </c>
    </row>
    <row r="53" spans="2:12" s="26" customFormat="1" ht="12.75">
      <c r="B53" s="27"/>
      <c r="C53" s="27"/>
      <c r="D53" s="27"/>
      <c r="E53" s="35"/>
      <c r="F53" s="27"/>
      <c r="G53" s="27"/>
      <c r="H53" s="27"/>
      <c r="I53" s="27"/>
      <c r="J53" s="29"/>
      <c r="K53" s="51"/>
      <c r="L53" s="30"/>
    </row>
    <row r="54" spans="1:12" s="36" customFormat="1" ht="12.75" outlineLevel="1">
      <c r="A54" s="36" t="s">
        <v>87</v>
      </c>
      <c r="B54" s="37">
        <v>-21493.28</v>
      </c>
      <c r="C54" s="37">
        <v>0</v>
      </c>
      <c r="D54" s="37">
        <f>IF(ISNA(VLOOKUP(LEFT(A54,5),'[2]Agresso Spend 300911'!A:H,6,FALSE)),0,(VLOOKUP(LEFT(A54,5),'[2]Agresso Spend 300911'!A:H,6,FALSE)))</f>
        <v>0</v>
      </c>
      <c r="E54" s="38">
        <v>0</v>
      </c>
      <c r="F54" s="37">
        <f>D54</f>
        <v>0</v>
      </c>
      <c r="G54" s="2">
        <f aca="true" t="shared" si="10" ref="G54:G90">F54-C54</f>
        <v>0</v>
      </c>
      <c r="H54" s="37"/>
      <c r="I54" s="37">
        <f aca="true" t="shared" si="11" ref="I54:I63">G54</f>
        <v>0</v>
      </c>
      <c r="J54" s="39" t="s">
        <v>88</v>
      </c>
      <c r="K54" s="55" t="s">
        <v>89</v>
      </c>
      <c r="L54" s="30" t="s">
        <v>15</v>
      </c>
    </row>
    <row r="55" spans="1:12" s="36" customFormat="1" ht="12.75" outlineLevel="1">
      <c r="A55" s="36" t="s">
        <v>90</v>
      </c>
      <c r="B55" s="37">
        <v>-17445.83</v>
      </c>
      <c r="C55" s="37">
        <v>0</v>
      </c>
      <c r="D55" s="37">
        <f>IF(ISNA(VLOOKUP(LEFT(A55,5),'[2]Agresso Spend 300911'!A:H,6,FALSE)),0,(VLOOKUP(LEFT(A55,5),'[2]Agresso Spend 300911'!A:H,6,FALSE)))</f>
        <v>183.1</v>
      </c>
      <c r="E55" s="38">
        <v>0</v>
      </c>
      <c r="F55" s="37">
        <v>0</v>
      </c>
      <c r="G55" s="2">
        <f t="shared" si="10"/>
        <v>0</v>
      </c>
      <c r="H55" s="37"/>
      <c r="I55" s="37">
        <f t="shared" si="11"/>
        <v>0</v>
      </c>
      <c r="J55" s="39" t="s">
        <v>88</v>
      </c>
      <c r="K55" s="55" t="s">
        <v>89</v>
      </c>
      <c r="L55" s="30" t="s">
        <v>15</v>
      </c>
    </row>
    <row r="56" spans="1:12" s="36" customFormat="1" ht="12.75" outlineLevel="1">
      <c r="A56" s="36" t="s">
        <v>91</v>
      </c>
      <c r="B56" s="37">
        <v>563547.74</v>
      </c>
      <c r="C56" s="37">
        <v>0</v>
      </c>
      <c r="D56" s="37">
        <f>IF(ISNA(VLOOKUP(LEFT(A56,5),'[2]Agresso Spend 300911'!A:H,6,FALSE)),0,(VLOOKUP(LEFT(A56,5),'[2]Agresso Spend 300911'!A:H,6,FALSE)))</f>
        <v>0</v>
      </c>
      <c r="E56" s="38">
        <v>0</v>
      </c>
      <c r="F56" s="37">
        <f>D56</f>
        <v>0</v>
      </c>
      <c r="G56" s="2">
        <f t="shared" si="10"/>
        <v>0</v>
      </c>
      <c r="H56" s="37"/>
      <c r="I56" s="37">
        <f t="shared" si="11"/>
        <v>0</v>
      </c>
      <c r="J56" s="39" t="s">
        <v>88</v>
      </c>
      <c r="K56" s="55" t="s">
        <v>89</v>
      </c>
      <c r="L56" s="30" t="s">
        <v>15</v>
      </c>
    </row>
    <row r="57" spans="1:12" s="36" customFormat="1" ht="12.75" outlineLevel="1">
      <c r="A57" s="36" t="s">
        <v>92</v>
      </c>
      <c r="B57" s="37">
        <v>56934.65</v>
      </c>
      <c r="C57" s="37">
        <v>0</v>
      </c>
      <c r="D57" s="37">
        <f>IF(ISNA(VLOOKUP(LEFT(A57,5),'[2]Agresso Spend 300911'!A:H,6,FALSE)),0,(VLOOKUP(LEFT(A57,5),'[2]Agresso Spend 300911'!A:H,6,FALSE)))</f>
        <v>-1310</v>
      </c>
      <c r="E57" s="38">
        <v>0</v>
      </c>
      <c r="F57" s="37">
        <v>0</v>
      </c>
      <c r="G57" s="2">
        <f t="shared" si="10"/>
        <v>0</v>
      </c>
      <c r="H57" s="37"/>
      <c r="I57" s="37">
        <f t="shared" si="11"/>
        <v>0</v>
      </c>
      <c r="J57" s="39" t="s">
        <v>88</v>
      </c>
      <c r="K57" s="55" t="s">
        <v>89</v>
      </c>
      <c r="L57" s="30" t="s">
        <v>15</v>
      </c>
    </row>
    <row r="58" spans="1:12" s="36" customFormat="1" ht="12.75" outlineLevel="1">
      <c r="A58" s="36" t="s">
        <v>93</v>
      </c>
      <c r="B58" s="37">
        <v>39162.36</v>
      </c>
      <c r="C58" s="37">
        <v>20000</v>
      </c>
      <c r="D58" s="37">
        <f>IF(ISNA(VLOOKUP(LEFT(A58,5),'[2]Agresso Spend 300911'!A:H,6,FALSE)),0,(VLOOKUP(LEFT(A58,5),'[2]Agresso Spend 300911'!A:H,6,FALSE)))</f>
        <v>23301.3</v>
      </c>
      <c r="E58" s="38">
        <f>D58/C58</f>
        <v>1.165065</v>
      </c>
      <c r="F58" s="37">
        <f>D58</f>
        <v>23301.3</v>
      </c>
      <c r="G58" s="2">
        <f t="shared" si="10"/>
        <v>3301.2999999999993</v>
      </c>
      <c r="H58" s="37"/>
      <c r="I58" s="37">
        <f t="shared" si="11"/>
        <v>3301.2999999999993</v>
      </c>
      <c r="J58" s="39" t="s">
        <v>88</v>
      </c>
      <c r="K58" s="55" t="s">
        <v>89</v>
      </c>
      <c r="L58" s="30" t="s">
        <v>15</v>
      </c>
    </row>
    <row r="59" spans="1:12" s="36" customFormat="1" ht="12.75" outlineLevel="1">
      <c r="A59" s="36" t="s">
        <v>94</v>
      </c>
      <c r="B59" s="37">
        <v>-73493.91</v>
      </c>
      <c r="C59" s="37">
        <v>0</v>
      </c>
      <c r="D59" s="37">
        <f>IF(ISNA(VLOOKUP(LEFT(A59,5),'[2]Agresso Spend 300911'!A:H,6,FALSE)),0,(VLOOKUP(LEFT(A59,5),'[2]Agresso Spend 300911'!A:H,6,FALSE)))</f>
        <v>-20.04</v>
      </c>
      <c r="E59" s="38">
        <v>0</v>
      </c>
      <c r="F59" s="37">
        <v>0</v>
      </c>
      <c r="G59" s="2">
        <f t="shared" si="10"/>
        <v>0</v>
      </c>
      <c r="H59" s="37"/>
      <c r="I59" s="37">
        <f t="shared" si="11"/>
        <v>0</v>
      </c>
      <c r="J59" s="39" t="s">
        <v>88</v>
      </c>
      <c r="K59" s="55" t="s">
        <v>89</v>
      </c>
      <c r="L59" s="30" t="s">
        <v>15</v>
      </c>
    </row>
    <row r="60" spans="1:12" s="36" customFormat="1" ht="12.75" outlineLevel="1">
      <c r="A60" s="36" t="s">
        <v>95</v>
      </c>
      <c r="B60" s="37">
        <v>-502445.8</v>
      </c>
      <c r="C60" s="37">
        <v>19520</v>
      </c>
      <c r="D60" s="37">
        <f>IF(ISNA(VLOOKUP(LEFT(A60,5),'[2]Agresso Spend 300911'!A:H,6,FALSE)),0,(VLOOKUP(LEFT(A60,5),'[2]Agresso Spend 300911'!A:H,6,FALSE)))</f>
        <v>8129.89</v>
      </c>
      <c r="E60" s="38">
        <f>D60/C60</f>
        <v>0.41649026639344267</v>
      </c>
      <c r="F60" s="37">
        <f>D60+20000</f>
        <v>28129.89</v>
      </c>
      <c r="G60" s="2">
        <f t="shared" si="10"/>
        <v>8609.89</v>
      </c>
      <c r="H60" s="37"/>
      <c r="I60" s="37">
        <f t="shared" si="11"/>
        <v>8609.89</v>
      </c>
      <c r="J60" s="39" t="s">
        <v>88</v>
      </c>
      <c r="K60" s="55" t="s">
        <v>96</v>
      </c>
      <c r="L60" s="30" t="s">
        <v>15</v>
      </c>
    </row>
    <row r="61" spans="1:12" s="36" customFormat="1" ht="12.75" outlineLevel="1">
      <c r="A61" s="36" t="s">
        <v>97</v>
      </c>
      <c r="B61" s="37">
        <v>45593.39999999991</v>
      </c>
      <c r="C61" s="37">
        <v>96000</v>
      </c>
      <c r="D61" s="37">
        <f>IF(ISNA(VLOOKUP(LEFT(A61,5),'[2]Agresso Spend 300911'!A:H,6,FALSE)),0,(VLOOKUP(LEFT(A61,5),'[2]Agresso Spend 300911'!A:H,6,FALSE)))</f>
        <v>96520.81</v>
      </c>
      <c r="E61" s="38">
        <f>D61/C61</f>
        <v>1.0054251041666666</v>
      </c>
      <c r="F61" s="37">
        <f>D61</f>
        <v>96520.81</v>
      </c>
      <c r="G61" s="2">
        <f t="shared" si="10"/>
        <v>520.8099999999977</v>
      </c>
      <c r="H61" s="37"/>
      <c r="I61" s="37">
        <f t="shared" si="11"/>
        <v>520.8099999999977</v>
      </c>
      <c r="J61" s="39" t="s">
        <v>88</v>
      </c>
      <c r="K61" s="55" t="s">
        <v>89</v>
      </c>
      <c r="L61" s="30" t="s">
        <v>15</v>
      </c>
    </row>
    <row r="62" spans="1:12" s="36" customFormat="1" ht="12.75" outlineLevel="1">
      <c r="A62" s="36" t="s">
        <v>98</v>
      </c>
      <c r="B62" s="37">
        <v>-56849.84</v>
      </c>
      <c r="C62" s="37">
        <v>0</v>
      </c>
      <c r="D62" s="37">
        <f>IF(ISNA(VLOOKUP(LEFT(A62,5),'[2]Agresso Spend 300911'!A:H,6,FALSE)),0,(VLOOKUP(LEFT(A62,5),'[2]Agresso Spend 300911'!A:H,6,FALSE)))</f>
        <v>0</v>
      </c>
      <c r="E62" s="38">
        <v>0</v>
      </c>
      <c r="F62" s="37">
        <f>D62</f>
        <v>0</v>
      </c>
      <c r="G62" s="2">
        <f t="shared" si="10"/>
        <v>0</v>
      </c>
      <c r="H62" s="37"/>
      <c r="I62" s="37">
        <f t="shared" si="11"/>
        <v>0</v>
      </c>
      <c r="J62" s="39" t="s">
        <v>88</v>
      </c>
      <c r="K62" s="55" t="s">
        <v>89</v>
      </c>
      <c r="L62" s="30" t="s">
        <v>15</v>
      </c>
    </row>
    <row r="63" spans="1:12" s="36" customFormat="1" ht="12.75" outlineLevel="1">
      <c r="A63" s="36" t="s">
        <v>99</v>
      </c>
      <c r="B63" s="37">
        <v>102011</v>
      </c>
      <c r="C63" s="37">
        <v>0</v>
      </c>
      <c r="D63" s="37">
        <f>IF(ISNA(VLOOKUP(LEFT(A63,5),'[2]Agresso Spend 300911'!A:H,6,FALSE)),0,(VLOOKUP(LEFT(A63,5),'[2]Agresso Spend 300911'!A:H,6,FALSE)))</f>
        <v>0</v>
      </c>
      <c r="E63" s="38">
        <v>0</v>
      </c>
      <c r="F63" s="37">
        <f>D63</f>
        <v>0</v>
      </c>
      <c r="G63" s="2">
        <f t="shared" si="10"/>
        <v>0</v>
      </c>
      <c r="H63" s="37"/>
      <c r="I63" s="37">
        <f t="shared" si="11"/>
        <v>0</v>
      </c>
      <c r="J63" s="39" t="s">
        <v>88</v>
      </c>
      <c r="K63" s="56" t="s">
        <v>100</v>
      </c>
      <c r="L63" s="30" t="s">
        <v>15</v>
      </c>
    </row>
    <row r="64" spans="1:12" s="47" customFormat="1" ht="38.25" outlineLevel="1">
      <c r="A64" s="47" t="s">
        <v>101</v>
      </c>
      <c r="B64" s="41">
        <v>335128.44</v>
      </c>
      <c r="C64" s="41">
        <v>335128.44</v>
      </c>
      <c r="D64" s="41">
        <f>IF(ISNA(VLOOKUP(LEFT(A64,5),'[2]Agresso Spend 300911'!A:H,6,FALSE)),0,(VLOOKUP(LEFT(A64,5),'[2]Agresso Spend 300911'!A:H,6,FALSE)))</f>
        <v>0</v>
      </c>
      <c r="E64" s="42">
        <f>D64/C64</f>
        <v>0</v>
      </c>
      <c r="F64" s="41">
        <v>335128</v>
      </c>
      <c r="G64" s="60">
        <f t="shared" si="10"/>
        <v>-0.4400000000023283</v>
      </c>
      <c r="H64" s="41">
        <f>G64</f>
        <v>-0.4400000000023283</v>
      </c>
      <c r="I64" s="41"/>
      <c r="J64" s="43" t="s">
        <v>88</v>
      </c>
      <c r="K64" s="59" t="s">
        <v>102</v>
      </c>
      <c r="L64" s="62" t="s">
        <v>15</v>
      </c>
    </row>
    <row r="65" spans="1:12" s="36" customFormat="1" ht="12.75" outlineLevel="1">
      <c r="A65" s="36" t="s">
        <v>103</v>
      </c>
      <c r="B65" s="37">
        <v>130000</v>
      </c>
      <c r="C65" s="37">
        <v>130000</v>
      </c>
      <c r="D65" s="37">
        <f>IF(ISNA(VLOOKUP(LEFT(A65,5),'[2]Agresso Spend 300911'!A:H,6,FALSE)),0,(VLOOKUP(LEFT(A65,5),'[2]Agresso Spend 300911'!A:H,6,FALSE)))</f>
        <v>2000</v>
      </c>
      <c r="E65" s="38">
        <f>D65/C65</f>
        <v>0.015384615384615385</v>
      </c>
      <c r="F65" s="37">
        <v>130000</v>
      </c>
      <c r="G65" s="2">
        <f t="shared" si="10"/>
        <v>0</v>
      </c>
      <c r="H65" s="37">
        <f>G65</f>
        <v>0</v>
      </c>
      <c r="I65" s="37"/>
      <c r="J65" s="39" t="s">
        <v>88</v>
      </c>
      <c r="K65" s="55" t="s">
        <v>104</v>
      </c>
      <c r="L65" s="30" t="s">
        <v>15</v>
      </c>
    </row>
    <row r="66" spans="1:12" s="36" customFormat="1" ht="12.75" outlineLevel="1">
      <c r="A66" s="36" t="s">
        <v>105</v>
      </c>
      <c r="B66" s="37">
        <v>110000</v>
      </c>
      <c r="C66" s="37">
        <v>110000</v>
      </c>
      <c r="D66" s="37">
        <f>IF(ISNA(VLOOKUP(LEFT(A66,5),'[2]Agresso Spend 300911'!A:H,6,FALSE)),0,(VLOOKUP(LEFT(A66,5),'[2]Agresso Spend 300911'!A:H,6,FALSE)))</f>
        <v>74717</v>
      </c>
      <c r="E66" s="38">
        <f>D66/C66</f>
        <v>0.6792454545454546</v>
      </c>
      <c r="F66" s="37">
        <v>110000</v>
      </c>
      <c r="G66" s="2">
        <f t="shared" si="10"/>
        <v>0</v>
      </c>
      <c r="H66" s="37">
        <f>G66</f>
        <v>0</v>
      </c>
      <c r="I66" s="37"/>
      <c r="J66" s="39" t="s">
        <v>88</v>
      </c>
      <c r="K66" s="55" t="s">
        <v>106</v>
      </c>
      <c r="L66" s="30" t="s">
        <v>15</v>
      </c>
    </row>
    <row r="67" spans="1:12" s="47" customFormat="1" ht="38.25" outlineLevel="1">
      <c r="A67" s="47" t="s">
        <v>107</v>
      </c>
      <c r="B67" s="41">
        <v>425000</v>
      </c>
      <c r="C67" s="41">
        <v>425000</v>
      </c>
      <c r="D67" s="41">
        <f>IF(ISNA(VLOOKUP(LEFT(A67,5),'[2]Agresso Spend 300911'!A:H,6,FALSE)),0,(VLOOKUP(LEFT(A67,5),'[2]Agresso Spend 300911'!A:H,6,FALSE)))</f>
        <v>0</v>
      </c>
      <c r="E67" s="42">
        <f>D67/C67</f>
        <v>0</v>
      </c>
      <c r="F67" s="41">
        <v>425000</v>
      </c>
      <c r="G67" s="60">
        <f t="shared" si="10"/>
        <v>0</v>
      </c>
      <c r="H67" s="41">
        <f>G67</f>
        <v>0</v>
      </c>
      <c r="I67" s="41"/>
      <c r="J67" s="43" t="s">
        <v>88</v>
      </c>
      <c r="K67" s="59" t="s">
        <v>108</v>
      </c>
      <c r="L67" s="62" t="s">
        <v>15</v>
      </c>
    </row>
    <row r="68" spans="1:12" s="40" customFormat="1" ht="12.75" outlineLevel="1">
      <c r="A68" s="36" t="s">
        <v>109</v>
      </c>
      <c r="B68" s="37">
        <v>0</v>
      </c>
      <c r="C68" s="37">
        <v>0</v>
      </c>
      <c r="D68" s="37">
        <f>IF(ISNA(VLOOKUP(LEFT(A68,5),'[2]Agresso Spend 300911'!A:H,6,FALSE)),0,(VLOOKUP(LEFT(A68,5),'[2]Agresso Spend 300911'!A:H,6,FALSE)))</f>
        <v>0</v>
      </c>
      <c r="E68" s="38">
        <v>0</v>
      </c>
      <c r="F68" s="37">
        <v>0</v>
      </c>
      <c r="G68" s="2">
        <f t="shared" si="10"/>
        <v>0</v>
      </c>
      <c r="H68" s="37">
        <f aca="true" t="shared" si="12" ref="H68:H73">G68</f>
        <v>0</v>
      </c>
      <c r="I68" s="37"/>
      <c r="J68" s="39" t="s">
        <v>84</v>
      </c>
      <c r="K68" s="57" t="s">
        <v>110</v>
      </c>
      <c r="L68" s="5" t="s">
        <v>15</v>
      </c>
    </row>
    <row r="69" spans="1:12" s="40" customFormat="1" ht="12.75" outlineLevel="1">
      <c r="A69" s="36" t="s">
        <v>111</v>
      </c>
      <c r="B69" s="37">
        <v>0</v>
      </c>
      <c r="C69" s="37">
        <v>0</v>
      </c>
      <c r="D69" s="37">
        <f>IF(ISNA(VLOOKUP(LEFT(A69,5),'[2]Agresso Spend 300911'!A:H,6,FALSE)),0,(VLOOKUP(LEFT(A69,5),'[2]Agresso Spend 300911'!A:H,6,FALSE)))</f>
        <v>0</v>
      </c>
      <c r="E69" s="38">
        <v>0</v>
      </c>
      <c r="F69" s="37">
        <v>0</v>
      </c>
      <c r="G69" s="2">
        <f t="shared" si="10"/>
        <v>0</v>
      </c>
      <c r="H69" s="37">
        <f t="shared" si="12"/>
        <v>0</v>
      </c>
      <c r="I69" s="37"/>
      <c r="J69" s="39" t="s">
        <v>84</v>
      </c>
      <c r="K69" s="57" t="s">
        <v>110</v>
      </c>
      <c r="L69" s="5" t="s">
        <v>15</v>
      </c>
    </row>
    <row r="70" spans="1:12" s="40" customFormat="1" ht="12.75" outlineLevel="1">
      <c r="A70" s="36" t="s">
        <v>112</v>
      </c>
      <c r="B70" s="37">
        <v>10000</v>
      </c>
      <c r="C70" s="37">
        <v>10000</v>
      </c>
      <c r="D70" s="37">
        <f>IF(ISNA(VLOOKUP(LEFT(A70,5),'[2]Agresso Spend 300911'!A:H,6,FALSE)),0,(VLOOKUP(LEFT(A70,5),'[2]Agresso Spend 300911'!A:H,6,FALSE)))</f>
        <v>0</v>
      </c>
      <c r="E70" s="38">
        <f>D70/C70</f>
        <v>0</v>
      </c>
      <c r="F70" s="37">
        <v>0</v>
      </c>
      <c r="G70" s="2">
        <f t="shared" si="10"/>
        <v>-10000</v>
      </c>
      <c r="H70" s="37">
        <f t="shared" si="12"/>
        <v>-10000</v>
      </c>
      <c r="I70" s="37"/>
      <c r="J70" s="39" t="s">
        <v>84</v>
      </c>
      <c r="K70" s="57" t="s">
        <v>113</v>
      </c>
      <c r="L70" s="5" t="s">
        <v>15</v>
      </c>
    </row>
    <row r="71" spans="1:12" s="40" customFormat="1" ht="12.75" outlineLevel="1">
      <c r="A71" s="36" t="s">
        <v>114</v>
      </c>
      <c r="B71" s="37">
        <v>0</v>
      </c>
      <c r="C71" s="37">
        <v>0</v>
      </c>
      <c r="D71" s="37">
        <f>IF(ISNA(VLOOKUP(LEFT(A71,5),'[2]Agresso Spend 300911'!A:H,6,FALSE)),0,(VLOOKUP(LEFT(A71,5),'[2]Agresso Spend 300911'!A:H,6,FALSE)))</f>
        <v>0</v>
      </c>
      <c r="E71" s="38">
        <v>0</v>
      </c>
      <c r="F71" s="37">
        <v>0</v>
      </c>
      <c r="G71" s="2">
        <f t="shared" si="10"/>
        <v>0</v>
      </c>
      <c r="H71" s="37">
        <f t="shared" si="12"/>
        <v>0</v>
      </c>
      <c r="I71" s="37"/>
      <c r="J71" s="39" t="s">
        <v>84</v>
      </c>
      <c r="K71" s="57" t="s">
        <v>110</v>
      </c>
      <c r="L71" s="5" t="s">
        <v>15</v>
      </c>
    </row>
    <row r="72" spans="1:12" s="40" customFormat="1" ht="12.75" outlineLevel="1">
      <c r="A72" s="36" t="s">
        <v>115</v>
      </c>
      <c r="B72" s="37">
        <v>35000</v>
      </c>
      <c r="C72" s="37">
        <v>35000</v>
      </c>
      <c r="D72" s="37">
        <f>IF(ISNA(VLOOKUP(LEFT(A72,5),'[2]Agresso Spend 300911'!A:H,6,FALSE)),0,(VLOOKUP(LEFT(A72,5),'[2]Agresso Spend 300911'!A:H,6,FALSE)))</f>
        <v>0</v>
      </c>
      <c r="E72" s="38">
        <f>D72/C72</f>
        <v>0</v>
      </c>
      <c r="F72" s="37">
        <v>35000</v>
      </c>
      <c r="G72" s="2">
        <f t="shared" si="10"/>
        <v>0</v>
      </c>
      <c r="H72" s="37">
        <f t="shared" si="12"/>
        <v>0</v>
      </c>
      <c r="I72" s="37"/>
      <c r="J72" s="39" t="s">
        <v>84</v>
      </c>
      <c r="K72" s="57" t="s">
        <v>116</v>
      </c>
      <c r="L72" s="5" t="s">
        <v>15</v>
      </c>
    </row>
    <row r="73" spans="1:12" s="40" customFormat="1" ht="25.5" outlineLevel="1">
      <c r="A73" s="36" t="s">
        <v>117</v>
      </c>
      <c r="B73" s="37">
        <v>60000</v>
      </c>
      <c r="C73" s="37">
        <v>60000</v>
      </c>
      <c r="D73" s="37">
        <f>IF(ISNA(VLOOKUP(LEFT(A73,5),'[2]Agresso Spend 300911'!A:H,6,FALSE)),0,(VLOOKUP(LEFT(A73,5),'[2]Agresso Spend 300911'!A:H,6,FALSE)))</f>
        <v>0</v>
      </c>
      <c r="E73" s="38">
        <f>D73/C73</f>
        <v>0</v>
      </c>
      <c r="F73" s="37">
        <v>60000</v>
      </c>
      <c r="G73" s="2">
        <f t="shared" si="10"/>
        <v>0</v>
      </c>
      <c r="H73" s="37">
        <f t="shared" si="12"/>
        <v>0</v>
      </c>
      <c r="I73" s="37"/>
      <c r="J73" s="39" t="s">
        <v>84</v>
      </c>
      <c r="K73" s="57" t="s">
        <v>118</v>
      </c>
      <c r="L73" s="5" t="s">
        <v>15</v>
      </c>
    </row>
    <row r="74" spans="1:12" s="40" customFormat="1" ht="12.75" outlineLevel="1">
      <c r="A74" s="36" t="s">
        <v>119</v>
      </c>
      <c r="B74" s="37">
        <v>85000</v>
      </c>
      <c r="C74" s="37">
        <v>85000</v>
      </c>
      <c r="D74" s="37">
        <f>IF(ISNA(VLOOKUP(LEFT(A74,5),'[2]Agresso Spend 300911'!A:H,6,FALSE)),0,(VLOOKUP(LEFT(A74,5),'[2]Agresso Spend 300911'!A:H,6,FALSE)))</f>
        <v>0</v>
      </c>
      <c r="E74" s="38">
        <f aca="true" t="shared" si="13" ref="E74:E79">D74/C74</f>
        <v>0</v>
      </c>
      <c r="F74" s="37">
        <v>85000</v>
      </c>
      <c r="G74" s="2">
        <f t="shared" si="10"/>
        <v>0</v>
      </c>
      <c r="H74" s="37">
        <f aca="true" t="shared" si="14" ref="H74:H79">G74</f>
        <v>0</v>
      </c>
      <c r="I74" s="37"/>
      <c r="J74" s="39" t="s">
        <v>120</v>
      </c>
      <c r="K74" s="57" t="s">
        <v>121</v>
      </c>
      <c r="L74" s="5" t="s">
        <v>15</v>
      </c>
    </row>
    <row r="75" spans="1:12" s="40" customFormat="1" ht="12.75" outlineLevel="1">
      <c r="A75" s="36" t="s">
        <v>122</v>
      </c>
      <c r="B75" s="37">
        <v>30000</v>
      </c>
      <c r="C75" s="37">
        <v>30000</v>
      </c>
      <c r="D75" s="37">
        <f>IF(ISNA(VLOOKUP(LEFT(A75,5),'[2]Agresso Spend 300911'!A:H,6,FALSE)),0,(VLOOKUP(LEFT(A75,5),'[2]Agresso Spend 300911'!A:H,6,FALSE)))</f>
        <v>0</v>
      </c>
      <c r="E75" s="38">
        <f t="shared" si="13"/>
        <v>0</v>
      </c>
      <c r="F75" s="37">
        <v>30000</v>
      </c>
      <c r="G75" s="2">
        <f t="shared" si="10"/>
        <v>0</v>
      </c>
      <c r="H75" s="37">
        <f t="shared" si="14"/>
        <v>0</v>
      </c>
      <c r="I75" s="37"/>
      <c r="J75" s="39" t="s">
        <v>120</v>
      </c>
      <c r="K75" s="57" t="s">
        <v>121</v>
      </c>
      <c r="L75" s="5" t="s">
        <v>15</v>
      </c>
    </row>
    <row r="76" spans="1:12" s="40" customFormat="1" ht="25.5" outlineLevel="1">
      <c r="A76" s="36" t="s">
        <v>123</v>
      </c>
      <c r="B76" s="37">
        <v>23784</v>
      </c>
      <c r="C76" s="37">
        <v>23784</v>
      </c>
      <c r="D76" s="37">
        <f>IF(ISNA(VLOOKUP(LEFT(A76,5),'[2]Agresso Spend 300911'!A:H,6,FALSE)),0,(VLOOKUP(LEFT(A76,5),'[2]Agresso Spend 300911'!A:H,6,FALSE)))</f>
        <v>0</v>
      </c>
      <c r="E76" s="38">
        <f t="shared" si="13"/>
        <v>0</v>
      </c>
      <c r="F76" s="37">
        <v>0</v>
      </c>
      <c r="G76" s="2">
        <f t="shared" si="10"/>
        <v>-23784</v>
      </c>
      <c r="H76" s="37">
        <f t="shared" si="14"/>
        <v>-23784</v>
      </c>
      <c r="I76" s="37"/>
      <c r="J76" s="39" t="s">
        <v>120</v>
      </c>
      <c r="K76" s="57" t="s">
        <v>124</v>
      </c>
      <c r="L76" s="5" t="s">
        <v>15</v>
      </c>
    </row>
    <row r="77" spans="1:12" s="40" customFormat="1" ht="12.75" outlineLevel="1">
      <c r="A77" s="36" t="s">
        <v>125</v>
      </c>
      <c r="B77" s="37">
        <v>12147</v>
      </c>
      <c r="C77" s="37">
        <v>12147</v>
      </c>
      <c r="D77" s="37">
        <f>IF(ISNA(VLOOKUP(LEFT(A77,5),'[2]Agresso Spend 300911'!A:H,6,FALSE)),0,(VLOOKUP(LEFT(A77,5),'[2]Agresso Spend 300911'!A:H,6,FALSE)))</f>
        <v>0</v>
      </c>
      <c r="E77" s="38">
        <f t="shared" si="13"/>
        <v>0</v>
      </c>
      <c r="F77" s="37">
        <v>0</v>
      </c>
      <c r="G77" s="2">
        <f t="shared" si="10"/>
        <v>-12147</v>
      </c>
      <c r="H77" s="37">
        <f t="shared" si="14"/>
        <v>-12147</v>
      </c>
      <c r="I77" s="37"/>
      <c r="J77" s="39" t="s">
        <v>126</v>
      </c>
      <c r="K77" s="57" t="s">
        <v>127</v>
      </c>
      <c r="L77" s="5" t="s">
        <v>15</v>
      </c>
    </row>
    <row r="78" spans="1:12" s="40" customFormat="1" ht="12.75" outlineLevel="1">
      <c r="A78" s="36" t="s">
        <v>128</v>
      </c>
      <c r="B78" s="37">
        <v>70000</v>
      </c>
      <c r="C78" s="37">
        <v>70000</v>
      </c>
      <c r="D78" s="37">
        <f>IF(ISNA(VLOOKUP(LEFT(A78,5),'[2]Agresso Spend 300911'!A:H,6,FALSE)),0,(VLOOKUP(LEFT(A78,5),'[2]Agresso Spend 300911'!A:H,6,FALSE)))</f>
        <v>0</v>
      </c>
      <c r="E78" s="38">
        <f t="shared" si="13"/>
        <v>0</v>
      </c>
      <c r="F78" s="37">
        <v>70000</v>
      </c>
      <c r="G78" s="2">
        <f t="shared" si="10"/>
        <v>0</v>
      </c>
      <c r="H78" s="37">
        <f t="shared" si="14"/>
        <v>0</v>
      </c>
      <c r="I78" s="37"/>
      <c r="J78" s="39" t="s">
        <v>120</v>
      </c>
      <c r="K78" s="57" t="s">
        <v>121</v>
      </c>
      <c r="L78" s="5" t="s">
        <v>15</v>
      </c>
    </row>
    <row r="79" spans="1:12" s="40" customFormat="1" ht="12.75" outlineLevel="1">
      <c r="A79" s="36" t="s">
        <v>129</v>
      </c>
      <c r="B79" s="37">
        <v>2500</v>
      </c>
      <c r="C79" s="37">
        <v>2500</v>
      </c>
      <c r="D79" s="37">
        <f>IF(ISNA(VLOOKUP(LEFT(A79,5),'[2]Agresso Spend 300911'!A:H,6,FALSE)),0,(VLOOKUP(LEFT(A79,5),'[2]Agresso Spend 300911'!A:H,6,FALSE)))</f>
        <v>0</v>
      </c>
      <c r="E79" s="38">
        <f t="shared" si="13"/>
        <v>0</v>
      </c>
      <c r="F79" s="37">
        <v>2500</v>
      </c>
      <c r="G79" s="2">
        <f t="shared" si="10"/>
        <v>0</v>
      </c>
      <c r="H79" s="37">
        <f t="shared" si="14"/>
        <v>0</v>
      </c>
      <c r="I79" s="37"/>
      <c r="J79" s="39"/>
      <c r="K79" s="57" t="s">
        <v>130</v>
      </c>
      <c r="L79" s="5" t="s">
        <v>15</v>
      </c>
    </row>
    <row r="80" spans="1:12" s="40" customFormat="1" ht="12.75" outlineLevel="1">
      <c r="A80" s="36" t="s">
        <v>131</v>
      </c>
      <c r="B80" s="37">
        <v>20000</v>
      </c>
      <c r="C80" s="37">
        <v>20000</v>
      </c>
      <c r="D80" s="37">
        <f>IF(ISNA(VLOOKUP(LEFT(A80,5),'[2]Agresso Spend 300911'!A:H,6,FALSE)),0,(VLOOKUP(LEFT(A80,5),'[2]Agresso Spend 300911'!A:H,6,FALSE)))</f>
        <v>0</v>
      </c>
      <c r="E80" s="38">
        <f>D80/C80</f>
        <v>0</v>
      </c>
      <c r="F80" s="37">
        <v>20000</v>
      </c>
      <c r="G80" s="2">
        <f t="shared" si="10"/>
        <v>0</v>
      </c>
      <c r="H80" s="37">
        <f>G80</f>
        <v>0</v>
      </c>
      <c r="I80" s="37"/>
      <c r="J80" s="39" t="s">
        <v>132</v>
      </c>
      <c r="K80" s="57" t="s">
        <v>133</v>
      </c>
      <c r="L80" s="5" t="s">
        <v>15</v>
      </c>
    </row>
    <row r="81" spans="1:12" s="40" customFormat="1" ht="25.5" outlineLevel="1">
      <c r="A81" s="36" t="s">
        <v>134</v>
      </c>
      <c r="B81" s="37">
        <v>4500</v>
      </c>
      <c r="C81" s="37">
        <v>4500</v>
      </c>
      <c r="D81" s="37">
        <f>IF(ISNA(VLOOKUP(LEFT(A81,5),'[2]Agresso Spend 300911'!A:H,6,FALSE)),0,(VLOOKUP(LEFT(A81,5),'[2]Agresso Spend 300911'!A:H,6,FALSE)))</f>
        <v>0</v>
      </c>
      <c r="E81" s="38">
        <f>D81/C81</f>
        <v>0</v>
      </c>
      <c r="F81" s="37">
        <v>4500</v>
      </c>
      <c r="G81" s="2">
        <f t="shared" si="10"/>
        <v>0</v>
      </c>
      <c r="H81" s="37">
        <f>G81</f>
        <v>0</v>
      </c>
      <c r="I81" s="37"/>
      <c r="J81" s="39" t="s">
        <v>135</v>
      </c>
      <c r="K81" s="57" t="s">
        <v>136</v>
      </c>
      <c r="L81" s="5" t="s">
        <v>15</v>
      </c>
    </row>
    <row r="82" spans="1:12" s="40" customFormat="1" ht="12.75" outlineLevel="1">
      <c r="A82" s="36" t="s">
        <v>137</v>
      </c>
      <c r="B82" s="37">
        <v>0</v>
      </c>
      <c r="C82" s="37">
        <v>0</v>
      </c>
      <c r="D82" s="37">
        <f>IF(ISNA(VLOOKUP(LEFT(A82,5),'[2]Agresso Spend 300911'!A:H,6,FALSE)),0,(VLOOKUP(LEFT(A82,5),'[2]Agresso Spend 300911'!A:H,6,FALSE)))</f>
        <v>0</v>
      </c>
      <c r="E82" s="38">
        <v>0</v>
      </c>
      <c r="F82" s="37">
        <v>0</v>
      </c>
      <c r="G82" s="2">
        <f t="shared" si="10"/>
        <v>0</v>
      </c>
      <c r="H82" s="37">
        <f>G82</f>
        <v>0</v>
      </c>
      <c r="I82" s="37"/>
      <c r="J82" s="39" t="s">
        <v>84</v>
      </c>
      <c r="K82" s="57" t="s">
        <v>110</v>
      </c>
      <c r="L82" s="5" t="s">
        <v>15</v>
      </c>
    </row>
    <row r="83" spans="1:12" s="40" customFormat="1" ht="12.75" outlineLevel="1">
      <c r="A83" s="36" t="s">
        <v>138</v>
      </c>
      <c r="B83" s="37">
        <v>0</v>
      </c>
      <c r="C83" s="37">
        <v>0</v>
      </c>
      <c r="D83" s="37">
        <f>IF(ISNA(VLOOKUP(LEFT(A83,5),'[2]Agresso Spend 300911'!A:H,6,FALSE)),0,(VLOOKUP(LEFT(A83,5),'[2]Agresso Spend 300911'!A:H,6,FALSE)))</f>
        <v>0</v>
      </c>
      <c r="E83" s="38">
        <v>0</v>
      </c>
      <c r="F83" s="37">
        <v>0</v>
      </c>
      <c r="G83" s="2">
        <f t="shared" si="10"/>
        <v>0</v>
      </c>
      <c r="H83" s="37">
        <f>G83</f>
        <v>0</v>
      </c>
      <c r="I83" s="37"/>
      <c r="J83" s="39" t="s">
        <v>84</v>
      </c>
      <c r="K83" s="57" t="s">
        <v>110</v>
      </c>
      <c r="L83" s="5" t="s">
        <v>15</v>
      </c>
    </row>
    <row r="84" spans="1:12" s="40" customFormat="1" ht="12.75" outlineLevel="1">
      <c r="A84" s="36" t="s">
        <v>139</v>
      </c>
      <c r="B84" s="37">
        <v>0</v>
      </c>
      <c r="C84" s="37">
        <v>0</v>
      </c>
      <c r="D84" s="37">
        <f>IF(ISNA(VLOOKUP(LEFT(A84,5),'[2]Agresso Spend 300911'!A:H,6,FALSE)),0,(VLOOKUP(LEFT(A84,5),'[2]Agresso Spend 300911'!A:H,6,FALSE)))</f>
        <v>0</v>
      </c>
      <c r="E84" s="38">
        <v>0</v>
      </c>
      <c r="F84" s="37">
        <v>0</v>
      </c>
      <c r="G84" s="2">
        <f t="shared" si="10"/>
        <v>0</v>
      </c>
      <c r="H84" s="37">
        <f>G84</f>
        <v>0</v>
      </c>
      <c r="I84" s="37"/>
      <c r="J84" s="39" t="s">
        <v>84</v>
      </c>
      <c r="K84" s="57" t="s">
        <v>110</v>
      </c>
      <c r="L84" s="5" t="s">
        <v>15</v>
      </c>
    </row>
    <row r="85" spans="1:12" s="40" customFormat="1" ht="25.5" outlineLevel="1">
      <c r="A85" s="36" t="s">
        <v>140</v>
      </c>
      <c r="B85" s="37">
        <v>45000</v>
      </c>
      <c r="C85" s="37">
        <v>45000</v>
      </c>
      <c r="D85" s="37">
        <f>IF(ISNA(VLOOKUP(LEFT(A85,5),'[2]Agresso Spend 300911'!A:H,6,FALSE)),0,(VLOOKUP(LEFT(A85,5),'[2]Agresso Spend 300911'!A:H,6,FALSE)))</f>
        <v>0</v>
      </c>
      <c r="E85" s="38">
        <f aca="true" t="shared" si="15" ref="E85:E90">D85/C85</f>
        <v>0</v>
      </c>
      <c r="F85" s="37">
        <v>65000</v>
      </c>
      <c r="G85" s="2">
        <f t="shared" si="10"/>
        <v>20000</v>
      </c>
      <c r="H85" s="37"/>
      <c r="I85" s="37">
        <f aca="true" t="shared" si="16" ref="I85:I90">G85</f>
        <v>20000</v>
      </c>
      <c r="J85" s="39" t="s">
        <v>84</v>
      </c>
      <c r="K85" s="57" t="s">
        <v>141</v>
      </c>
      <c r="L85" s="5" t="s">
        <v>15</v>
      </c>
    </row>
    <row r="86" spans="1:12" s="40" customFormat="1" ht="12.75" outlineLevel="1">
      <c r="A86" s="36" t="s">
        <v>142</v>
      </c>
      <c r="B86" s="37">
        <v>25000</v>
      </c>
      <c r="C86" s="37">
        <v>25000</v>
      </c>
      <c r="D86" s="37">
        <f>IF(ISNA(VLOOKUP(LEFT(A86,5),'[2]Agresso Spend 300911'!A:H,6,FALSE)),0,(VLOOKUP(LEFT(A86,5),'[2]Agresso Spend 300911'!A:H,6,FALSE)))</f>
        <v>0</v>
      </c>
      <c r="E86" s="38">
        <f t="shared" si="15"/>
        <v>0</v>
      </c>
      <c r="F86" s="37">
        <v>0</v>
      </c>
      <c r="G86" s="2">
        <f t="shared" si="10"/>
        <v>-25000</v>
      </c>
      <c r="H86" s="37"/>
      <c r="I86" s="37">
        <f t="shared" si="16"/>
        <v>-25000</v>
      </c>
      <c r="J86" s="39" t="s">
        <v>84</v>
      </c>
      <c r="K86" s="57" t="s">
        <v>143</v>
      </c>
      <c r="L86" s="5" t="s">
        <v>15</v>
      </c>
    </row>
    <row r="87" spans="1:12" s="40" customFormat="1" ht="12.75" outlineLevel="1">
      <c r="A87" s="36" t="s">
        <v>144</v>
      </c>
      <c r="B87" s="37">
        <v>25000</v>
      </c>
      <c r="C87" s="37">
        <v>25000</v>
      </c>
      <c r="D87" s="37">
        <f>IF(ISNA(VLOOKUP(LEFT(A87,5),'[2]Agresso Spend 300911'!A:H,6,FALSE)),0,(VLOOKUP(LEFT(A87,5),'[2]Agresso Spend 300911'!A:H,6,FALSE)))</f>
        <v>14729.7</v>
      </c>
      <c r="E87" s="38">
        <f t="shared" si="15"/>
        <v>0.589188</v>
      </c>
      <c r="F87" s="37">
        <v>14730</v>
      </c>
      <c r="G87" s="2">
        <f t="shared" si="10"/>
        <v>-10270</v>
      </c>
      <c r="H87" s="37"/>
      <c r="I87" s="37">
        <f t="shared" si="16"/>
        <v>-10270</v>
      </c>
      <c r="J87" s="39" t="s">
        <v>132</v>
      </c>
      <c r="K87" s="57" t="s">
        <v>145</v>
      </c>
      <c r="L87" s="5" t="s">
        <v>15</v>
      </c>
    </row>
    <row r="88" spans="1:12" s="40" customFormat="1" ht="12.75" outlineLevel="1">
      <c r="A88" s="36" t="s">
        <v>146</v>
      </c>
      <c r="B88" s="37">
        <v>7006</v>
      </c>
      <c r="C88" s="37">
        <v>7006</v>
      </c>
      <c r="D88" s="37">
        <f>IF(ISNA(VLOOKUP(LEFT(A88,5),'[2]Agresso Spend 300911'!A:H,6,FALSE)),0,(VLOOKUP(LEFT(A88,5),'[2]Agresso Spend 300911'!A:H,6,FALSE)))</f>
        <v>0</v>
      </c>
      <c r="E88" s="38">
        <f t="shared" si="15"/>
        <v>0</v>
      </c>
      <c r="F88" s="37">
        <v>7006</v>
      </c>
      <c r="G88" s="2">
        <f t="shared" si="10"/>
        <v>0</v>
      </c>
      <c r="H88" s="37"/>
      <c r="I88" s="37">
        <f t="shared" si="16"/>
        <v>0</v>
      </c>
      <c r="J88" s="39" t="s">
        <v>132</v>
      </c>
      <c r="K88" s="57" t="s">
        <v>147</v>
      </c>
      <c r="L88" s="5" t="s">
        <v>15</v>
      </c>
    </row>
    <row r="89" spans="1:12" s="40" customFormat="1" ht="12.75" outlineLevel="1">
      <c r="A89" s="36" t="s">
        <v>148</v>
      </c>
      <c r="B89" s="37">
        <v>11500</v>
      </c>
      <c r="C89" s="37">
        <v>11500</v>
      </c>
      <c r="D89" s="37">
        <f>IF(ISNA(VLOOKUP(LEFT(A89,5),'[2]Agresso Spend 300911'!A:H,6,FALSE)),0,(VLOOKUP(LEFT(A89,5),'[2]Agresso Spend 300911'!A:H,6,FALSE)))</f>
        <v>2338.8</v>
      </c>
      <c r="E89" s="38">
        <f t="shared" si="15"/>
        <v>0.20337391304347827</v>
      </c>
      <c r="F89" s="37">
        <v>0</v>
      </c>
      <c r="G89" s="2">
        <f t="shared" si="10"/>
        <v>-11500</v>
      </c>
      <c r="H89" s="37"/>
      <c r="I89" s="37">
        <f t="shared" si="16"/>
        <v>-11500</v>
      </c>
      <c r="J89" s="39" t="s">
        <v>132</v>
      </c>
      <c r="K89" s="57" t="s">
        <v>147</v>
      </c>
      <c r="L89" s="5" t="s">
        <v>15</v>
      </c>
    </row>
    <row r="90" spans="1:12" s="40" customFormat="1" ht="12.75" outlineLevel="1">
      <c r="A90" s="36" t="s">
        <v>149</v>
      </c>
      <c r="B90" s="37">
        <v>18</v>
      </c>
      <c r="C90" s="37">
        <v>18</v>
      </c>
      <c r="D90" s="37">
        <f>IF(ISNA(VLOOKUP(LEFT(A90,5),'[2]Agresso Spend 300911'!A:H,6,FALSE)),0,(VLOOKUP(LEFT(A90,5),'[2]Agresso Spend 300911'!A:H,6,FALSE)))</f>
        <v>0</v>
      </c>
      <c r="E90" s="38">
        <f t="shared" si="15"/>
        <v>0</v>
      </c>
      <c r="F90" s="37">
        <v>0</v>
      </c>
      <c r="G90" s="2">
        <f t="shared" si="10"/>
        <v>-18</v>
      </c>
      <c r="H90" s="37"/>
      <c r="I90" s="37">
        <f t="shared" si="16"/>
        <v>-18</v>
      </c>
      <c r="J90" s="39" t="s">
        <v>132</v>
      </c>
      <c r="K90" s="57" t="s">
        <v>147</v>
      </c>
      <c r="L90" s="5" t="s">
        <v>15</v>
      </c>
    </row>
    <row r="91" spans="1:12" s="40" customFormat="1" ht="12.75" outlineLevel="1">
      <c r="A91" s="36"/>
      <c r="B91" s="37"/>
      <c r="C91" s="37"/>
      <c r="D91" s="37"/>
      <c r="E91" s="38"/>
      <c r="F91" s="37"/>
      <c r="G91" s="37"/>
      <c r="H91" s="37"/>
      <c r="I91" s="37"/>
      <c r="J91" s="39"/>
      <c r="K91" s="57"/>
      <c r="L91" s="5"/>
    </row>
    <row r="92" spans="1:12" s="40" customFormat="1" ht="25.5" outlineLevel="1">
      <c r="A92" s="36" t="s">
        <v>150</v>
      </c>
      <c r="B92" s="37">
        <v>62648</v>
      </c>
      <c r="C92" s="37">
        <v>62648</v>
      </c>
      <c r="D92" s="37">
        <f>IF(ISNA(VLOOKUP(LEFT(A92,5),'[2]Agresso Spend 300911'!A:H,6,FALSE)),0,(VLOOKUP(LEFT(A92,5),'[2]Agresso Spend 300911'!A:H,6,FALSE)))</f>
        <v>0</v>
      </c>
      <c r="E92" s="38">
        <f aca="true" t="shared" si="17" ref="E92:E100">D92/C92</f>
        <v>0</v>
      </c>
      <c r="F92" s="37">
        <v>65000</v>
      </c>
      <c r="G92" s="2">
        <f aca="true" t="shared" si="18" ref="G92:G114">F92-C92</f>
        <v>2352</v>
      </c>
      <c r="H92" s="37"/>
      <c r="I92" s="37">
        <f>G92</f>
        <v>2352</v>
      </c>
      <c r="J92" s="39" t="s">
        <v>132</v>
      </c>
      <c r="K92" s="57" t="s">
        <v>151</v>
      </c>
      <c r="L92" s="5" t="s">
        <v>15</v>
      </c>
    </row>
    <row r="93" spans="1:12" s="40" customFormat="1" ht="25.5" outlineLevel="1">
      <c r="A93" s="36" t="s">
        <v>152</v>
      </c>
      <c r="B93" s="37">
        <v>162500</v>
      </c>
      <c r="C93" s="37">
        <v>162500</v>
      </c>
      <c r="D93" s="37">
        <f>IF(ISNA(VLOOKUP(LEFT(A93,5),'[2]Agresso Spend 300911'!A:H,6,FALSE)),0,(VLOOKUP(LEFT(A93,5),'[2]Agresso Spend 300911'!A:H,6,FALSE)))</f>
        <v>0</v>
      </c>
      <c r="E93" s="38">
        <f t="shared" si="17"/>
        <v>0</v>
      </c>
      <c r="F93" s="37">
        <v>82500</v>
      </c>
      <c r="G93" s="2">
        <f t="shared" si="18"/>
        <v>-80000</v>
      </c>
      <c r="H93" s="37">
        <f>G93</f>
        <v>-80000</v>
      </c>
      <c r="I93" s="37"/>
      <c r="J93" s="39" t="s">
        <v>126</v>
      </c>
      <c r="K93" s="57" t="s">
        <v>153</v>
      </c>
      <c r="L93" s="5" t="s">
        <v>15</v>
      </c>
    </row>
    <row r="94" spans="1:12" s="40" customFormat="1" ht="25.5" outlineLevel="1">
      <c r="A94" s="36" t="s">
        <v>154</v>
      </c>
      <c r="B94" s="37">
        <v>199500</v>
      </c>
      <c r="C94" s="37">
        <v>199500</v>
      </c>
      <c r="D94" s="37">
        <f>IF(ISNA(VLOOKUP(LEFT(A94,5),'[2]Agresso Spend 300911'!A:H,6,FALSE)),0,(VLOOKUP(LEFT(A94,5),'[2]Agresso Spend 300911'!A:H,6,FALSE)))</f>
        <v>0</v>
      </c>
      <c r="E94" s="38">
        <f t="shared" si="17"/>
        <v>0</v>
      </c>
      <c r="F94" s="37">
        <v>50000</v>
      </c>
      <c r="G94" s="2">
        <f t="shared" si="18"/>
        <v>-149500</v>
      </c>
      <c r="H94" s="37">
        <f>G94</f>
        <v>-149500</v>
      </c>
      <c r="I94" s="37"/>
      <c r="J94" s="39" t="s">
        <v>126</v>
      </c>
      <c r="K94" s="57" t="s">
        <v>155</v>
      </c>
      <c r="L94" s="5" t="s">
        <v>15</v>
      </c>
    </row>
    <row r="95" spans="1:12" s="40" customFormat="1" ht="12.75" outlineLevel="1">
      <c r="A95" s="36" t="s">
        <v>156</v>
      </c>
      <c r="B95" s="37">
        <v>30000</v>
      </c>
      <c r="C95" s="37">
        <v>30000</v>
      </c>
      <c r="D95" s="37">
        <f>IF(ISNA(VLOOKUP(LEFT(A95,5),'[2]Agresso Spend 300911'!A:H,6,FALSE)),0,(VLOOKUP(LEFT(A95,5),'[2]Agresso Spend 300911'!A:H,6,FALSE)))</f>
        <v>0</v>
      </c>
      <c r="E95" s="38">
        <f t="shared" si="17"/>
        <v>0</v>
      </c>
      <c r="F95" s="37">
        <v>0</v>
      </c>
      <c r="G95" s="2">
        <f t="shared" si="18"/>
        <v>-30000</v>
      </c>
      <c r="H95" s="37">
        <f>G95</f>
        <v>-30000</v>
      </c>
      <c r="I95" s="37"/>
      <c r="J95" s="39" t="s">
        <v>84</v>
      </c>
      <c r="K95" s="57" t="s">
        <v>157</v>
      </c>
      <c r="L95" s="5" t="s">
        <v>15</v>
      </c>
    </row>
    <row r="96" spans="1:12" s="40" customFormat="1" ht="12.75" outlineLevel="1">
      <c r="A96" s="36" t="s">
        <v>158</v>
      </c>
      <c r="B96" s="37">
        <v>50000</v>
      </c>
      <c r="C96" s="37">
        <v>50000</v>
      </c>
      <c r="D96" s="37">
        <f>IF(ISNA(VLOOKUP(LEFT(A96,5),'[2]Agresso Spend 300911'!A:H,6,FALSE)),0,(VLOOKUP(LEFT(A96,5),'[2]Agresso Spend 300911'!A:H,6,FALSE)))</f>
        <v>0</v>
      </c>
      <c r="E96" s="38">
        <f t="shared" si="17"/>
        <v>0</v>
      </c>
      <c r="F96" s="37">
        <v>0</v>
      </c>
      <c r="G96" s="2">
        <f t="shared" si="18"/>
        <v>-50000</v>
      </c>
      <c r="H96" s="37">
        <f>G96</f>
        <v>-50000</v>
      </c>
      <c r="I96" s="37"/>
      <c r="J96" s="39" t="s">
        <v>84</v>
      </c>
      <c r="K96" s="57" t="s">
        <v>157</v>
      </c>
      <c r="L96" s="5" t="s">
        <v>15</v>
      </c>
    </row>
    <row r="97" spans="1:12" s="40" customFormat="1" ht="25.5" outlineLevel="1">
      <c r="A97" s="36" t="s">
        <v>159</v>
      </c>
      <c r="B97" s="37">
        <v>57000</v>
      </c>
      <c r="C97" s="37">
        <v>57000</v>
      </c>
      <c r="D97" s="37">
        <f>IF(ISNA(VLOOKUP(LEFT(A97,5),'[2]Agresso Spend 300911'!A:H,6,FALSE)),0,(VLOOKUP(LEFT(A97,5),'[2]Agresso Spend 300911'!A:H,6,FALSE)))</f>
        <v>0</v>
      </c>
      <c r="E97" s="38">
        <f t="shared" si="17"/>
        <v>0</v>
      </c>
      <c r="F97" s="37">
        <v>0</v>
      </c>
      <c r="G97" s="2">
        <f t="shared" si="18"/>
        <v>-57000</v>
      </c>
      <c r="H97" s="37"/>
      <c r="I97" s="37">
        <f>G97</f>
        <v>-57000</v>
      </c>
      <c r="J97" s="39" t="s">
        <v>84</v>
      </c>
      <c r="K97" s="57" t="s">
        <v>160</v>
      </c>
      <c r="L97" s="5" t="s">
        <v>15</v>
      </c>
    </row>
    <row r="98" spans="1:12" s="40" customFormat="1" ht="12.75" outlineLevel="1">
      <c r="A98" s="36" t="s">
        <v>161</v>
      </c>
      <c r="B98" s="37">
        <v>55000</v>
      </c>
      <c r="C98" s="37">
        <v>55000</v>
      </c>
      <c r="D98" s="37">
        <f>IF(ISNA(VLOOKUP(LEFT(A98,5),'[2]Agresso Spend 300911'!A:H,6,FALSE)),0,(VLOOKUP(LEFT(A98,5),'[2]Agresso Spend 300911'!A:H,6,FALSE)))</f>
        <v>0</v>
      </c>
      <c r="E98" s="38">
        <f t="shared" si="17"/>
        <v>0</v>
      </c>
      <c r="F98" s="37">
        <v>55000</v>
      </c>
      <c r="G98" s="2">
        <f t="shared" si="18"/>
        <v>0</v>
      </c>
      <c r="H98" s="37">
        <f>G98</f>
        <v>0</v>
      </c>
      <c r="I98" s="37"/>
      <c r="J98" s="39" t="s">
        <v>84</v>
      </c>
      <c r="K98" s="57" t="s">
        <v>121</v>
      </c>
      <c r="L98" s="5" t="s">
        <v>15</v>
      </c>
    </row>
    <row r="99" spans="1:12" s="40" customFormat="1" ht="25.5" outlineLevel="1">
      <c r="A99" s="36" t="s">
        <v>162</v>
      </c>
      <c r="B99" s="37">
        <v>70000</v>
      </c>
      <c r="C99" s="37">
        <v>70000</v>
      </c>
      <c r="D99" s="37">
        <f>IF(ISNA(VLOOKUP(LEFT(A99,5),'[2]Agresso Spend 300911'!A:H,6,FALSE)),0,(VLOOKUP(LEFT(A99,5),'[2]Agresso Spend 300911'!A:H,6,FALSE)))</f>
        <v>0</v>
      </c>
      <c r="E99" s="38">
        <f t="shared" si="17"/>
        <v>0</v>
      </c>
      <c r="F99" s="37">
        <v>5000</v>
      </c>
      <c r="G99" s="2">
        <f t="shared" si="18"/>
        <v>-65000</v>
      </c>
      <c r="H99" s="37"/>
      <c r="I99" s="37">
        <f>G99</f>
        <v>-65000</v>
      </c>
      <c r="J99" s="39" t="s">
        <v>84</v>
      </c>
      <c r="K99" s="57" t="s">
        <v>163</v>
      </c>
      <c r="L99" s="5" t="s">
        <v>15</v>
      </c>
    </row>
    <row r="100" spans="1:12" s="40" customFormat="1" ht="12.75" outlineLevel="1">
      <c r="A100" s="36" t="s">
        <v>164</v>
      </c>
      <c r="B100" s="37">
        <v>51000</v>
      </c>
      <c r="C100" s="37">
        <v>51000</v>
      </c>
      <c r="D100" s="37">
        <f>IF(ISNA(VLOOKUP(LEFT(A100,5),'[2]Agresso Spend 300911'!A:H,6,FALSE)),0,(VLOOKUP(LEFT(A100,5),'[2]Agresso Spend 300911'!A:H,6,FALSE)))</f>
        <v>0</v>
      </c>
      <c r="E100" s="38">
        <f t="shared" si="17"/>
        <v>0</v>
      </c>
      <c r="F100" s="37">
        <v>0</v>
      </c>
      <c r="G100" s="2">
        <f t="shared" si="18"/>
        <v>-51000</v>
      </c>
      <c r="H100" s="37">
        <f aca="true" t="shared" si="19" ref="H100:H106">G100</f>
        <v>-51000</v>
      </c>
      <c r="I100" s="37"/>
      <c r="J100" s="39" t="s">
        <v>84</v>
      </c>
      <c r="K100" s="57" t="s">
        <v>157</v>
      </c>
      <c r="L100" s="5" t="s">
        <v>15</v>
      </c>
    </row>
    <row r="101" spans="1:12" s="40" customFormat="1" ht="12.75" outlineLevel="1">
      <c r="A101" s="36" t="s">
        <v>165</v>
      </c>
      <c r="B101" s="37">
        <v>0</v>
      </c>
      <c r="C101" s="37">
        <v>0</v>
      </c>
      <c r="D101" s="37">
        <f>IF(ISNA(VLOOKUP(LEFT(A101,5),'[2]Agresso Spend 300911'!A:H,6,FALSE)),0,(VLOOKUP(LEFT(A101,5),'[2]Agresso Spend 300911'!A:H,6,FALSE)))</f>
        <v>0</v>
      </c>
      <c r="E101" s="38">
        <v>0</v>
      </c>
      <c r="F101" s="37">
        <v>5000</v>
      </c>
      <c r="G101" s="2">
        <f t="shared" si="18"/>
        <v>5000</v>
      </c>
      <c r="H101" s="37">
        <f t="shared" si="19"/>
        <v>5000</v>
      </c>
      <c r="I101" s="37"/>
      <c r="J101" s="39" t="s">
        <v>84</v>
      </c>
      <c r="K101" s="57" t="s">
        <v>110</v>
      </c>
      <c r="L101" s="5" t="s">
        <v>15</v>
      </c>
    </row>
    <row r="102" spans="1:12" s="40" customFormat="1" ht="12.75" outlineLevel="1">
      <c r="A102" s="36" t="s">
        <v>166</v>
      </c>
      <c r="B102" s="37">
        <v>0</v>
      </c>
      <c r="C102" s="37">
        <v>0</v>
      </c>
      <c r="D102" s="37">
        <f>IF(ISNA(VLOOKUP(LEFT(A102,5),'[2]Agresso Spend 300911'!A:H,6,FALSE)),0,(VLOOKUP(LEFT(A102,5),'[2]Agresso Spend 300911'!A:H,6,FALSE)))</f>
        <v>0</v>
      </c>
      <c r="E102" s="38">
        <v>0</v>
      </c>
      <c r="F102" s="37">
        <v>0</v>
      </c>
      <c r="G102" s="2">
        <f t="shared" si="18"/>
        <v>0</v>
      </c>
      <c r="H102" s="37">
        <f t="shared" si="19"/>
        <v>0</v>
      </c>
      <c r="I102" s="37"/>
      <c r="J102" s="39" t="s">
        <v>84</v>
      </c>
      <c r="K102" s="57" t="s">
        <v>110</v>
      </c>
      <c r="L102" s="5" t="s">
        <v>15</v>
      </c>
    </row>
    <row r="103" spans="1:12" s="40" customFormat="1" ht="12.75" outlineLevel="1">
      <c r="A103" s="36" t="s">
        <v>167</v>
      </c>
      <c r="B103" s="37">
        <v>0</v>
      </c>
      <c r="C103" s="37">
        <v>0</v>
      </c>
      <c r="D103" s="37">
        <f>IF(ISNA(VLOOKUP(LEFT(A103,5),'[2]Agresso Spend 300911'!A:H,6,FALSE)),0,(VLOOKUP(LEFT(A103,5),'[2]Agresso Spend 300911'!A:H,6,FALSE)))</f>
        <v>0</v>
      </c>
      <c r="E103" s="38">
        <v>0</v>
      </c>
      <c r="F103" s="37">
        <v>0</v>
      </c>
      <c r="G103" s="2">
        <f t="shared" si="18"/>
        <v>0</v>
      </c>
      <c r="H103" s="37">
        <f t="shared" si="19"/>
        <v>0</v>
      </c>
      <c r="I103" s="37"/>
      <c r="J103" s="39" t="s">
        <v>84</v>
      </c>
      <c r="K103" s="57" t="s">
        <v>110</v>
      </c>
      <c r="L103" s="5" t="s">
        <v>15</v>
      </c>
    </row>
    <row r="104" spans="1:12" s="40" customFormat="1" ht="12.75" outlineLevel="1">
      <c r="A104" s="36" t="s">
        <v>168</v>
      </c>
      <c r="B104" s="37">
        <v>30000</v>
      </c>
      <c r="C104" s="37">
        <v>30000</v>
      </c>
      <c r="D104" s="37">
        <f>IF(ISNA(VLOOKUP(LEFT(A104,5),'[2]Agresso Spend 300911'!A:H,6,FALSE)),0,(VLOOKUP(LEFT(A104,5),'[2]Agresso Spend 300911'!A:H,6,FALSE)))</f>
        <v>0</v>
      </c>
      <c r="E104" s="38">
        <f>D104/C104</f>
        <v>0</v>
      </c>
      <c r="F104" s="37">
        <v>0</v>
      </c>
      <c r="G104" s="2">
        <f t="shared" si="18"/>
        <v>-30000</v>
      </c>
      <c r="H104" s="37">
        <f t="shared" si="19"/>
        <v>-30000</v>
      </c>
      <c r="I104" s="37"/>
      <c r="J104" s="39" t="s">
        <v>84</v>
      </c>
      <c r="K104" s="57" t="s">
        <v>169</v>
      </c>
      <c r="L104" s="5" t="s">
        <v>15</v>
      </c>
    </row>
    <row r="105" spans="1:12" s="40" customFormat="1" ht="12.75" outlineLevel="1">
      <c r="A105" s="36" t="s">
        <v>170</v>
      </c>
      <c r="B105" s="37">
        <v>0</v>
      </c>
      <c r="C105" s="37">
        <v>0</v>
      </c>
      <c r="D105" s="37">
        <f>IF(ISNA(VLOOKUP(LEFT(A105,5),'[2]Agresso Spend 300911'!A:H,6,FALSE)),0,(VLOOKUP(LEFT(A105,5),'[2]Agresso Spend 300911'!A:H,6,FALSE)))</f>
        <v>0</v>
      </c>
      <c r="E105" s="38">
        <v>0</v>
      </c>
      <c r="F105" s="37">
        <v>0</v>
      </c>
      <c r="G105" s="2">
        <f t="shared" si="18"/>
        <v>0</v>
      </c>
      <c r="H105" s="37">
        <f t="shared" si="19"/>
        <v>0</v>
      </c>
      <c r="I105" s="37"/>
      <c r="J105" s="39" t="s">
        <v>84</v>
      </c>
      <c r="K105" s="57" t="s">
        <v>110</v>
      </c>
      <c r="L105" s="5" t="s">
        <v>15</v>
      </c>
    </row>
    <row r="106" spans="1:12" s="40" customFormat="1" ht="12.75" outlineLevel="1">
      <c r="A106" s="36" t="s">
        <v>171</v>
      </c>
      <c r="B106" s="37">
        <v>0</v>
      </c>
      <c r="C106" s="37">
        <v>0</v>
      </c>
      <c r="D106" s="37">
        <f>IF(ISNA(VLOOKUP(LEFT(A106,5),'[2]Agresso Spend 300911'!A:H,6,FALSE)),0,(VLOOKUP(LEFT(A106,5),'[2]Agresso Spend 300911'!A:H,6,FALSE)))</f>
        <v>0</v>
      </c>
      <c r="E106" s="38">
        <v>0</v>
      </c>
      <c r="F106" s="37">
        <v>0</v>
      </c>
      <c r="G106" s="2">
        <f t="shared" si="18"/>
        <v>0</v>
      </c>
      <c r="H106" s="37">
        <f t="shared" si="19"/>
        <v>0</v>
      </c>
      <c r="I106" s="37"/>
      <c r="J106" s="39" t="s">
        <v>84</v>
      </c>
      <c r="K106" s="57" t="s">
        <v>110</v>
      </c>
      <c r="L106" s="5" t="s">
        <v>15</v>
      </c>
    </row>
    <row r="107" spans="1:12" s="40" customFormat="1" ht="25.5" outlineLevel="1">
      <c r="A107" s="36" t="s">
        <v>172</v>
      </c>
      <c r="B107" s="37">
        <v>200000</v>
      </c>
      <c r="C107" s="37">
        <v>200000</v>
      </c>
      <c r="D107" s="37">
        <f>IF(ISNA(VLOOKUP(LEFT(A107,5),'[2]Agresso Spend 300911'!A:H,6,FALSE)),0,(VLOOKUP(LEFT(A107,5),'[2]Agresso Spend 300911'!A:H,6,FALSE)))</f>
        <v>0</v>
      </c>
      <c r="E107" s="38">
        <f>D107/C107</f>
        <v>0</v>
      </c>
      <c r="F107" s="37">
        <f>200000+16810</f>
        <v>216810</v>
      </c>
      <c r="G107" s="2">
        <f t="shared" si="18"/>
        <v>16810</v>
      </c>
      <c r="H107" s="37">
        <f>G107</f>
        <v>16810</v>
      </c>
      <c r="I107" s="37"/>
      <c r="J107" s="39" t="s">
        <v>126</v>
      </c>
      <c r="K107" s="57" t="s">
        <v>173</v>
      </c>
      <c r="L107" s="5" t="s">
        <v>15</v>
      </c>
    </row>
    <row r="108" spans="1:12" s="40" customFormat="1" ht="12.75" outlineLevel="1">
      <c r="A108" s="36" t="s">
        <v>174</v>
      </c>
      <c r="B108" s="37">
        <v>28190</v>
      </c>
      <c r="C108" s="37">
        <v>28190</v>
      </c>
      <c r="D108" s="37">
        <f>IF(ISNA(VLOOKUP(LEFT(A108,5),'[2]Agresso Spend 300911'!A:H,6,FALSE)),0,(VLOOKUP(LEFT(A108,5),'[2]Agresso Spend 300911'!A:H,6,FALSE)))</f>
        <v>0</v>
      </c>
      <c r="E108" s="38">
        <f>D108/C108</f>
        <v>0</v>
      </c>
      <c r="F108" s="37">
        <v>28190</v>
      </c>
      <c r="G108" s="2">
        <f t="shared" si="18"/>
        <v>0</v>
      </c>
      <c r="H108" s="37">
        <f>G108</f>
        <v>0</v>
      </c>
      <c r="I108" s="37"/>
      <c r="J108" s="39" t="s">
        <v>126</v>
      </c>
      <c r="K108" s="57" t="s">
        <v>175</v>
      </c>
      <c r="L108" s="5" t="s">
        <v>15</v>
      </c>
    </row>
    <row r="109" spans="1:12" s="40" customFormat="1" ht="12.75" outlineLevel="1">
      <c r="A109" s="36" t="s">
        <v>176</v>
      </c>
      <c r="B109" s="37">
        <v>5000</v>
      </c>
      <c r="C109" s="37">
        <v>5000</v>
      </c>
      <c r="D109" s="37">
        <f>IF(ISNA(VLOOKUP(LEFT(A109,5),'[2]Agresso Spend 300911'!A:H,6,FALSE)),0,(VLOOKUP(LEFT(A109,5),'[2]Agresso Spend 300911'!A:H,6,FALSE)))</f>
        <v>0</v>
      </c>
      <c r="E109" s="38">
        <f>D109/C109</f>
        <v>0</v>
      </c>
      <c r="F109" s="37">
        <v>5000</v>
      </c>
      <c r="G109" s="2">
        <f t="shared" si="18"/>
        <v>0</v>
      </c>
      <c r="H109" s="37">
        <f>G109</f>
        <v>0</v>
      </c>
      <c r="I109" s="37"/>
      <c r="J109" s="39" t="s">
        <v>126</v>
      </c>
      <c r="K109" s="57" t="s">
        <v>175</v>
      </c>
      <c r="L109" s="5" t="s">
        <v>15</v>
      </c>
    </row>
    <row r="110" spans="1:12" s="40" customFormat="1" ht="12.75" outlineLevel="1">
      <c r="A110" s="36" t="s">
        <v>177</v>
      </c>
      <c r="B110" s="37">
        <v>10000</v>
      </c>
      <c r="C110" s="37">
        <v>10000</v>
      </c>
      <c r="D110" s="37">
        <f>IF(ISNA(VLOOKUP(LEFT(A110,5),'[2]Agresso Spend 300911'!A:H,6,FALSE)),0,(VLOOKUP(LEFT(A110,5),'[2]Agresso Spend 300911'!A:H,6,FALSE)))</f>
        <v>0</v>
      </c>
      <c r="E110" s="38">
        <f>D110/C110</f>
        <v>0</v>
      </c>
      <c r="F110" s="37">
        <v>10000</v>
      </c>
      <c r="G110" s="2">
        <f t="shared" si="18"/>
        <v>0</v>
      </c>
      <c r="H110" s="37">
        <f>G110</f>
        <v>0</v>
      </c>
      <c r="I110" s="37"/>
      <c r="J110" s="39" t="s">
        <v>126</v>
      </c>
      <c r="K110" s="57" t="s">
        <v>175</v>
      </c>
      <c r="L110" s="5" t="s">
        <v>15</v>
      </c>
    </row>
    <row r="111" spans="1:12" s="40" customFormat="1" ht="25.5" outlineLevel="1">
      <c r="A111" s="36" t="s">
        <v>178</v>
      </c>
      <c r="B111" s="37">
        <v>0</v>
      </c>
      <c r="C111" s="37">
        <v>100000</v>
      </c>
      <c r="D111" s="37">
        <f>IF(ISNA(VLOOKUP(LEFT(A111,5),'[2]Agresso Spend 300911'!A:H,6,FALSE)),0,(VLOOKUP(LEFT(A111,5),'[2]Agresso Spend 300911'!A:H,6,FALSE)))</f>
        <v>0</v>
      </c>
      <c r="E111" s="38">
        <f>D111/C111</f>
        <v>0</v>
      </c>
      <c r="F111" s="37">
        <v>100000</v>
      </c>
      <c r="G111" s="2">
        <f t="shared" si="18"/>
        <v>0</v>
      </c>
      <c r="H111" s="37">
        <f>G111</f>
        <v>0</v>
      </c>
      <c r="I111" s="37"/>
      <c r="J111" s="39" t="s">
        <v>126</v>
      </c>
      <c r="K111" s="57" t="s">
        <v>179</v>
      </c>
      <c r="L111" s="5" t="s">
        <v>15</v>
      </c>
    </row>
    <row r="112" spans="1:12" s="40" customFormat="1" ht="25.5" outlineLevel="1">
      <c r="A112" s="36" t="s">
        <v>180</v>
      </c>
      <c r="B112" s="37">
        <v>0</v>
      </c>
      <c r="C112" s="37">
        <v>0</v>
      </c>
      <c r="D112" s="37">
        <v>0</v>
      </c>
      <c r="E112" s="38">
        <v>0</v>
      </c>
      <c r="F112" s="37">
        <v>55000</v>
      </c>
      <c r="G112" s="2">
        <f t="shared" si="18"/>
        <v>55000</v>
      </c>
      <c r="H112" s="37"/>
      <c r="I112" s="37">
        <v>55000</v>
      </c>
      <c r="J112" s="39" t="s">
        <v>84</v>
      </c>
      <c r="K112" s="57" t="s">
        <v>181</v>
      </c>
      <c r="L112" s="5"/>
    </row>
    <row r="113" spans="1:12" s="40" customFormat="1" ht="12.75" outlineLevel="1">
      <c r="A113" s="36" t="s">
        <v>182</v>
      </c>
      <c r="B113" s="37">
        <v>3440429</v>
      </c>
      <c r="C113" s="37">
        <v>3440429</v>
      </c>
      <c r="D113" s="37">
        <f>IF(ISNA(VLOOKUP(LEFT(A113,5),'[2]Agresso Spend 300911'!A:H,6,FALSE)),0,(VLOOKUP(LEFT(A113,5),'[2]Agresso Spend 300911'!A:H,6,FALSE)))</f>
        <v>1866864.28</v>
      </c>
      <c r="E113" s="38">
        <f>D113/C113</f>
        <v>0.5426254342118382</v>
      </c>
      <c r="F113" s="37">
        <v>3440429</v>
      </c>
      <c r="G113" s="2">
        <f t="shared" si="18"/>
        <v>0</v>
      </c>
      <c r="H113" s="37">
        <f>G113</f>
        <v>0</v>
      </c>
      <c r="I113" s="37"/>
      <c r="J113" s="39" t="s">
        <v>183</v>
      </c>
      <c r="K113" s="57"/>
      <c r="L113" s="5" t="s">
        <v>15</v>
      </c>
    </row>
    <row r="114" spans="1:12" s="40" customFormat="1" ht="25.5" outlineLevel="1">
      <c r="A114" s="36" t="s">
        <v>184</v>
      </c>
      <c r="B114" s="37">
        <v>0</v>
      </c>
      <c r="C114" s="37">
        <v>0</v>
      </c>
      <c r="D114" s="37">
        <f>IF(ISNA(VLOOKUP(LEFT(A114,5),'[2]Agresso Spend 300911'!A:H,6,FALSE)),0,(VLOOKUP(LEFT(A114,5),'[2]Agresso Spend 300911'!A:H,6,FALSE)))</f>
        <v>0</v>
      </c>
      <c r="E114" s="38">
        <v>0</v>
      </c>
      <c r="F114" s="37">
        <v>0</v>
      </c>
      <c r="G114" s="2">
        <f t="shared" si="18"/>
        <v>0</v>
      </c>
      <c r="H114" s="37">
        <f>G114</f>
        <v>0</v>
      </c>
      <c r="I114" s="37"/>
      <c r="J114" s="39" t="s">
        <v>84</v>
      </c>
      <c r="K114" s="57" t="s">
        <v>185</v>
      </c>
      <c r="L114" s="5" t="s">
        <v>15</v>
      </c>
    </row>
    <row r="115" spans="1:11" ht="12.75" outlineLevel="1">
      <c r="A115" s="17"/>
      <c r="B115" s="18"/>
      <c r="C115" s="18"/>
      <c r="D115" s="18"/>
      <c r="E115" s="31"/>
      <c r="F115" s="18"/>
      <c r="G115" s="18"/>
      <c r="H115" s="18"/>
      <c r="I115" s="18"/>
      <c r="J115" s="20"/>
      <c r="K115" s="52"/>
    </row>
    <row r="116" spans="1:12" s="25" customFormat="1" ht="12.75">
      <c r="A116" s="21" t="s">
        <v>186</v>
      </c>
      <c r="B116" s="22">
        <v>6153370.93</v>
      </c>
      <c r="C116" s="22">
        <v>6253370.4399999995</v>
      </c>
      <c r="D116" s="22">
        <f>SUM(D54:D114)</f>
        <v>2087454.84</v>
      </c>
      <c r="E116" s="23">
        <f>D116/C116</f>
        <v>0.3338127590598967</v>
      </c>
      <c r="F116" s="22">
        <f>SUM(F54:F114)</f>
        <v>5659745</v>
      </c>
      <c r="G116" s="22">
        <f>SUM(G54:G114)</f>
        <v>-493625.43999999994</v>
      </c>
      <c r="H116" s="22">
        <f>SUM(H54:H114)</f>
        <v>-414621.44</v>
      </c>
      <c r="I116" s="22">
        <f>SUM(I54:I114)</f>
        <v>-79004</v>
      </c>
      <c r="J116" s="24"/>
      <c r="K116" s="50"/>
      <c r="L116" s="5" t="s">
        <v>15</v>
      </c>
    </row>
    <row r="117" spans="2:12" s="26" customFormat="1" ht="12.75">
      <c r="B117" s="27"/>
      <c r="C117" s="27"/>
      <c r="D117" s="27"/>
      <c r="E117" s="28"/>
      <c r="F117" s="27"/>
      <c r="G117" s="27"/>
      <c r="H117" s="27"/>
      <c r="I117" s="27"/>
      <c r="J117" s="29"/>
      <c r="K117" s="51"/>
      <c r="L117" s="30"/>
    </row>
    <row r="118" spans="1:12" ht="12.75" outlineLevel="1">
      <c r="A118" s="17" t="s">
        <v>187</v>
      </c>
      <c r="B118" s="18">
        <v>18000</v>
      </c>
      <c r="C118" s="18">
        <v>18000</v>
      </c>
      <c r="D118" s="18">
        <f>IF(ISNA(VLOOKUP(LEFT(A118,5),'[2]Agresso Spend 300911'!A:H,6,FALSE)),0,(VLOOKUP(LEFT(A118,5),'[2]Agresso Spend 300911'!A:H,6,FALSE)))</f>
        <v>6712</v>
      </c>
      <c r="E118" s="31">
        <f>D118/C118</f>
        <v>0.3728888888888889</v>
      </c>
      <c r="F118" s="18">
        <v>18000</v>
      </c>
      <c r="G118" s="2">
        <f>F118-C118</f>
        <v>0</v>
      </c>
      <c r="H118" s="18">
        <f>G118</f>
        <v>0</v>
      </c>
      <c r="I118" s="18"/>
      <c r="J118" s="20" t="s">
        <v>188</v>
      </c>
      <c r="K118" s="52"/>
      <c r="L118" s="5" t="s">
        <v>15</v>
      </c>
    </row>
    <row r="119" spans="1:12" ht="12.75" outlineLevel="1">
      <c r="A119" t="s">
        <v>189</v>
      </c>
      <c r="B119" s="18">
        <v>161000</v>
      </c>
      <c r="C119" s="18">
        <v>161000</v>
      </c>
      <c r="D119" s="18">
        <f>IF(ISNA(VLOOKUP(LEFT(A119,5),'[2]Agresso Spend 300911'!A:H,6,FALSE)),0,(VLOOKUP(LEFT(A119,5),'[2]Agresso Spend 300911'!A:H,6,FALSE)))</f>
        <v>7914.12</v>
      </c>
      <c r="E119" s="31">
        <f>D119/C119</f>
        <v>0.049156024844720494</v>
      </c>
      <c r="F119" s="18">
        <v>161000</v>
      </c>
      <c r="G119" s="2">
        <f>F119-C119</f>
        <v>0</v>
      </c>
      <c r="H119" s="18">
        <f>G119</f>
        <v>0</v>
      </c>
      <c r="I119" s="18"/>
      <c r="J119" s="20" t="s">
        <v>188</v>
      </c>
      <c r="K119" s="52"/>
      <c r="L119" s="5" t="s">
        <v>15</v>
      </c>
    </row>
    <row r="120" spans="1:11" ht="12.75" outlineLevel="1">
      <c r="A120"/>
      <c r="B120" s="18"/>
      <c r="C120" s="18"/>
      <c r="D120" s="18"/>
      <c r="E120" s="31"/>
      <c r="F120" s="18"/>
      <c r="G120" s="18"/>
      <c r="H120" s="18"/>
      <c r="I120" s="18"/>
      <c r="J120" s="20"/>
      <c r="K120" s="52"/>
    </row>
    <row r="121" spans="1:12" s="25" customFormat="1" ht="12.75">
      <c r="A121" s="21" t="s">
        <v>190</v>
      </c>
      <c r="B121" s="22">
        <v>179000</v>
      </c>
      <c r="C121" s="22">
        <v>179000</v>
      </c>
      <c r="D121" s="22">
        <f>SUM(D118:D119)</f>
        <v>14626.119999999999</v>
      </c>
      <c r="E121" s="23">
        <f>D121/C121</f>
        <v>0.08171016759776535</v>
      </c>
      <c r="F121" s="22">
        <f>SUM(F118:F119)</f>
        <v>179000</v>
      </c>
      <c r="G121" s="22">
        <f>SUM(G118:G119)</f>
        <v>0</v>
      </c>
      <c r="H121" s="22">
        <f>SUM(H118:H119)</f>
        <v>0</v>
      </c>
      <c r="I121" s="22">
        <f>SUM(I118:I119)</f>
        <v>0</v>
      </c>
      <c r="J121" s="24"/>
      <c r="K121" s="50"/>
      <c r="L121" s="5" t="s">
        <v>15</v>
      </c>
    </row>
    <row r="122" spans="2:12" s="26" customFormat="1" ht="12.75">
      <c r="B122" s="27"/>
      <c r="C122" s="27"/>
      <c r="D122" s="27"/>
      <c r="E122" s="28"/>
      <c r="F122" s="27"/>
      <c r="G122" s="27"/>
      <c r="H122" s="27"/>
      <c r="I122" s="27"/>
      <c r="J122" s="29"/>
      <c r="K122" s="51"/>
      <c r="L122" s="30"/>
    </row>
    <row r="123" spans="1:12" ht="25.5" outlineLevel="1">
      <c r="A123" s="17" t="s">
        <v>191</v>
      </c>
      <c r="B123" s="18">
        <v>685509</v>
      </c>
      <c r="C123" s="18">
        <v>685509</v>
      </c>
      <c r="D123" s="18">
        <f>IF(ISNA(VLOOKUP(LEFT(A123,5),'[2]Agresso Spend 300911'!A:H,6,FALSE)),0,(VLOOKUP(LEFT(A123,5),'[2]Agresso Spend 300911'!A:H,6,FALSE)))</f>
        <v>327665.91</v>
      </c>
      <c r="E123" s="31">
        <v>0</v>
      </c>
      <c r="F123" s="18">
        <v>435509</v>
      </c>
      <c r="G123" s="2">
        <f aca="true" t="shared" si="20" ref="G123:G163">F123-C123</f>
        <v>-250000</v>
      </c>
      <c r="H123" s="18">
        <f>G123</f>
        <v>-250000</v>
      </c>
      <c r="I123" s="18"/>
      <c r="J123" s="20" t="s">
        <v>192</v>
      </c>
      <c r="K123" s="52" t="s">
        <v>193</v>
      </c>
      <c r="L123" s="5" t="s">
        <v>15</v>
      </c>
    </row>
    <row r="124" spans="1:12" ht="12.75" outlineLevel="1">
      <c r="A124" s="17" t="s">
        <v>194</v>
      </c>
      <c r="B124" s="18">
        <v>744465</v>
      </c>
      <c r="C124" s="18">
        <v>744465</v>
      </c>
      <c r="D124" s="18">
        <f>IF(ISNA(VLOOKUP(LEFT(A124,5),'[2]Agresso Spend 300911'!A:H,6,FALSE)),0,(VLOOKUP(LEFT(A124,5),'[2]Agresso Spend 300911'!A:H,6,FALSE)))</f>
        <v>29785.24</v>
      </c>
      <c r="E124" s="31">
        <f>D124/C124</f>
        <v>0.04000891915670986</v>
      </c>
      <c r="F124" s="18">
        <f>C124</f>
        <v>744465</v>
      </c>
      <c r="G124" s="2">
        <f t="shared" si="20"/>
        <v>0</v>
      </c>
      <c r="H124" s="18">
        <f>G124</f>
        <v>0</v>
      </c>
      <c r="I124" s="18"/>
      <c r="J124" s="20" t="s">
        <v>192</v>
      </c>
      <c r="K124" s="52" t="s">
        <v>195</v>
      </c>
      <c r="L124" s="5" t="s">
        <v>15</v>
      </c>
    </row>
    <row r="125" spans="1:12" ht="13.5" customHeight="1" outlineLevel="1">
      <c r="A125" s="17" t="s">
        <v>196</v>
      </c>
      <c r="B125" s="18">
        <v>800000</v>
      </c>
      <c r="C125" s="18">
        <v>800000</v>
      </c>
      <c r="D125" s="18">
        <f>IF(ISNA(VLOOKUP(LEFT(A125,5),'[2]Agresso Spend 300911'!A:H,6,FALSE)),0,(VLOOKUP(LEFT(A125,5),'[2]Agresso Spend 300911'!A:H,6,FALSE)))</f>
        <v>0</v>
      </c>
      <c r="E125" s="31">
        <v>0</v>
      </c>
      <c r="F125" s="18">
        <v>0</v>
      </c>
      <c r="G125" s="2">
        <f t="shared" si="20"/>
        <v>-800000</v>
      </c>
      <c r="H125" s="18"/>
      <c r="I125" s="18">
        <f>G125</f>
        <v>-800000</v>
      </c>
      <c r="J125" s="20" t="s">
        <v>192</v>
      </c>
      <c r="K125" s="52" t="s">
        <v>197</v>
      </c>
      <c r="L125" s="5" t="s">
        <v>15</v>
      </c>
    </row>
    <row r="126" spans="1:12" ht="12.75" outlineLevel="1">
      <c r="A126" s="17" t="s">
        <v>198</v>
      </c>
      <c r="B126" s="18">
        <v>0</v>
      </c>
      <c r="C126" s="18">
        <v>0</v>
      </c>
      <c r="D126" s="18">
        <f>IF(ISNA(VLOOKUP(LEFT(A126,5),'[2]Agresso Spend 300911'!A:H,6,FALSE)),0,(VLOOKUP(LEFT(A126,5),'[2]Agresso Spend 300911'!A:H,6,FALSE)))</f>
        <v>0</v>
      </c>
      <c r="E126" s="31">
        <v>0</v>
      </c>
      <c r="F126" s="18">
        <v>0</v>
      </c>
      <c r="G126" s="2">
        <f t="shared" si="20"/>
        <v>0</v>
      </c>
      <c r="H126" s="18">
        <f aca="true" t="shared" si="21" ref="H126:H133">G126</f>
        <v>0</v>
      </c>
      <c r="I126" s="18"/>
      <c r="J126" s="20" t="s">
        <v>192</v>
      </c>
      <c r="K126" s="52"/>
      <c r="L126" s="5" t="s">
        <v>15</v>
      </c>
    </row>
    <row r="127" spans="1:12" ht="12.75" outlineLevel="1">
      <c r="A127" s="17" t="s">
        <v>199</v>
      </c>
      <c r="B127" s="18">
        <v>32130</v>
      </c>
      <c r="C127" s="18">
        <v>32130</v>
      </c>
      <c r="D127" s="18">
        <f>IF(ISNA(VLOOKUP(LEFT(A127,5),'[2]Agresso Spend 300911'!A:H,6,FALSE)),0,(VLOOKUP(LEFT(A127,5),'[2]Agresso Spend 300911'!A:H,6,FALSE)))</f>
        <v>0</v>
      </c>
      <c r="E127" s="31">
        <f>D127/C127</f>
        <v>0</v>
      </c>
      <c r="F127" s="18">
        <v>32130</v>
      </c>
      <c r="G127" s="2">
        <f t="shared" si="20"/>
        <v>0</v>
      </c>
      <c r="H127" s="18">
        <f t="shared" si="21"/>
        <v>0</v>
      </c>
      <c r="I127" s="18"/>
      <c r="J127" s="20" t="s">
        <v>192</v>
      </c>
      <c r="K127" s="52"/>
      <c r="L127" s="5" t="s">
        <v>15</v>
      </c>
    </row>
    <row r="128" spans="1:10" ht="12.75" outlineLevel="1">
      <c r="A128" t="s">
        <v>200</v>
      </c>
      <c r="D128" s="18">
        <f>IF(ISNA(VLOOKUP(LEFT(A128,5),'[2]Agresso Spend 300911'!A:H,6,FALSE)),0,(VLOOKUP(LEFT(A128,5),'[2]Agresso Spend 300911'!A:H,6,FALSE)))</f>
        <v>0</v>
      </c>
      <c r="E128" s="3">
        <v>0</v>
      </c>
      <c r="F128" s="2">
        <v>0</v>
      </c>
      <c r="G128" s="2">
        <f t="shared" si="20"/>
        <v>0</v>
      </c>
      <c r="H128" s="18">
        <f t="shared" si="21"/>
        <v>0</v>
      </c>
      <c r="J128" s="20" t="s">
        <v>192</v>
      </c>
    </row>
    <row r="129" spans="1:12" ht="12.75" outlineLevel="1">
      <c r="A129" s="17" t="s">
        <v>201</v>
      </c>
      <c r="B129" s="18">
        <v>44375</v>
      </c>
      <c r="C129" s="18">
        <v>44375</v>
      </c>
      <c r="D129" s="18">
        <f>IF(ISNA(VLOOKUP(LEFT(A129,5),'[2]Agresso Spend 300911'!A:H,6,FALSE)),0,(VLOOKUP(LEFT(A129,5),'[2]Agresso Spend 300911'!A:H,6,FALSE)))</f>
        <v>0</v>
      </c>
      <c r="E129" s="31">
        <f>D129/C129</f>
        <v>0</v>
      </c>
      <c r="F129" s="18">
        <v>44375</v>
      </c>
      <c r="G129" s="2">
        <f t="shared" si="20"/>
        <v>0</v>
      </c>
      <c r="H129" s="18">
        <f t="shared" si="21"/>
        <v>0</v>
      </c>
      <c r="I129" s="18"/>
      <c r="J129" s="20" t="s">
        <v>192</v>
      </c>
      <c r="K129" s="52"/>
      <c r="L129" s="5" t="s">
        <v>15</v>
      </c>
    </row>
    <row r="130" spans="1:12" s="17" customFormat="1" ht="25.5" outlineLevel="1">
      <c r="A130" s="17" t="s">
        <v>202</v>
      </c>
      <c r="B130" s="18">
        <v>25346</v>
      </c>
      <c r="C130" s="18">
        <v>25346</v>
      </c>
      <c r="D130" s="18">
        <f>IF(ISNA(VLOOKUP(LEFT(A130,5),'[2]Agresso Spend 300911'!A:H,6,FALSE)),0,(VLOOKUP(LEFT(A130,5),'[2]Agresso Spend 300911'!A:H,6,FALSE)))</f>
        <v>0</v>
      </c>
      <c r="E130" s="31">
        <f>D130/C130</f>
        <v>0</v>
      </c>
      <c r="F130" s="18">
        <v>25346</v>
      </c>
      <c r="G130" s="2">
        <f t="shared" si="20"/>
        <v>0</v>
      </c>
      <c r="H130" s="18">
        <f t="shared" si="21"/>
        <v>0</v>
      </c>
      <c r="I130" s="18"/>
      <c r="J130" s="20" t="s">
        <v>192</v>
      </c>
      <c r="K130" s="46" t="s">
        <v>203</v>
      </c>
      <c r="L130" s="30" t="s">
        <v>15</v>
      </c>
    </row>
    <row r="131" spans="1:12" ht="25.5" outlineLevel="1">
      <c r="A131" s="17" t="s">
        <v>204</v>
      </c>
      <c r="B131" s="18">
        <v>350311</v>
      </c>
      <c r="C131" s="18">
        <v>350311</v>
      </c>
      <c r="D131" s="18">
        <f>IF(ISNA(VLOOKUP(LEFT(A131,5),'[2]Agresso Spend 300911'!A:H,6,FALSE)),0,(VLOOKUP(LEFT(A131,5),'[2]Agresso Spend 300911'!A:H,6,FALSE)))</f>
        <v>274684.77</v>
      </c>
      <c r="E131" s="31">
        <f>D131/C131</f>
        <v>0.7841168847110139</v>
      </c>
      <c r="F131" s="18">
        <f>C131</f>
        <v>350311</v>
      </c>
      <c r="G131" s="2">
        <f t="shared" si="20"/>
        <v>0</v>
      </c>
      <c r="H131" s="18">
        <f t="shared" si="21"/>
        <v>0</v>
      </c>
      <c r="I131" s="18"/>
      <c r="J131" s="20" t="s">
        <v>192</v>
      </c>
      <c r="K131" s="46" t="s">
        <v>203</v>
      </c>
      <c r="L131" s="5" t="s">
        <v>15</v>
      </c>
    </row>
    <row r="132" spans="1:12" ht="12.75" outlineLevel="1">
      <c r="A132" s="17" t="s">
        <v>205</v>
      </c>
      <c r="B132" s="18">
        <v>82545</v>
      </c>
      <c r="C132" s="18"/>
      <c r="D132" s="18">
        <f>IF(ISNA(VLOOKUP(LEFT(A132,5),'[2]Agresso Spend 300911'!A:H,6,FALSE)),0,(VLOOKUP(LEFT(A132,5),'[2]Agresso Spend 300911'!A:H,6,FALSE)))</f>
        <v>0</v>
      </c>
      <c r="E132" s="31">
        <v>0</v>
      </c>
      <c r="F132" s="18">
        <v>0</v>
      </c>
      <c r="G132" s="2">
        <f t="shared" si="20"/>
        <v>0</v>
      </c>
      <c r="H132" s="18">
        <f t="shared" si="21"/>
        <v>0</v>
      </c>
      <c r="I132" s="18"/>
      <c r="J132" s="20" t="s">
        <v>192</v>
      </c>
      <c r="K132" s="46" t="s">
        <v>206</v>
      </c>
      <c r="L132" s="5" t="s">
        <v>15</v>
      </c>
    </row>
    <row r="133" spans="1:12" ht="12.75" outlineLevel="1">
      <c r="A133" s="17" t="s">
        <v>207</v>
      </c>
      <c r="B133" s="18">
        <v>50000</v>
      </c>
      <c r="C133" s="18"/>
      <c r="D133" s="18">
        <f>IF(ISNA(VLOOKUP(LEFT(A133,5),'[2]Agresso Spend 300911'!A:H,6,FALSE)),0,(VLOOKUP(LEFT(A133,5),'[2]Agresso Spend 300911'!A:H,6,FALSE)))</f>
        <v>0</v>
      </c>
      <c r="E133" s="31">
        <v>0</v>
      </c>
      <c r="F133" s="18">
        <v>0</v>
      </c>
      <c r="G133" s="2">
        <f t="shared" si="20"/>
        <v>0</v>
      </c>
      <c r="H133" s="18">
        <f t="shared" si="21"/>
        <v>0</v>
      </c>
      <c r="I133" s="18"/>
      <c r="J133" s="20" t="s">
        <v>192</v>
      </c>
      <c r="K133" s="46" t="s">
        <v>206</v>
      </c>
      <c r="L133" s="5" t="s">
        <v>15</v>
      </c>
    </row>
    <row r="134" spans="1:12" s="34" customFormat="1" ht="25.5" outlineLevel="1">
      <c r="A134" s="47" t="s">
        <v>208</v>
      </c>
      <c r="B134" s="41">
        <v>7438071</v>
      </c>
      <c r="C134" s="41">
        <v>7438071</v>
      </c>
      <c r="D134" s="41">
        <f>IF(ISNA(VLOOKUP(LEFT(A134,5),'[2]Agresso Spend 300911'!A:H,6,FALSE)),0,(VLOOKUP(LEFT(A134,5),'[2]Agresso Spend 300911'!A:H,6,FALSE)))</f>
        <v>198597.22</v>
      </c>
      <c r="E134" s="42">
        <f aca="true" t="shared" si="22" ref="E134:E139">D134/C134</f>
        <v>0.026700097377397983</v>
      </c>
      <c r="F134" s="41">
        <v>1000000</v>
      </c>
      <c r="G134" s="60">
        <f t="shared" si="20"/>
        <v>-6438071</v>
      </c>
      <c r="H134" s="41">
        <f aca="true" t="shared" si="23" ref="H134:H139">G134</f>
        <v>-6438071</v>
      </c>
      <c r="I134" s="41"/>
      <c r="J134" s="43" t="s">
        <v>192</v>
      </c>
      <c r="K134" s="59" t="s">
        <v>209</v>
      </c>
      <c r="L134" s="61" t="s">
        <v>15</v>
      </c>
    </row>
    <row r="135" spans="1:12" s="34" customFormat="1" ht="13.5" customHeight="1" outlineLevel="1">
      <c r="A135" s="47" t="s">
        <v>210</v>
      </c>
      <c r="B135" s="41">
        <v>200000</v>
      </c>
      <c r="C135" s="41">
        <v>200000</v>
      </c>
      <c r="D135" s="41">
        <f>IF(ISNA(VLOOKUP(LEFT(A135,5),'[2]Agresso Spend 300911'!A:H,6,FALSE)),0,(VLOOKUP(LEFT(A135,5),'[2]Agresso Spend 300911'!A:H,6,FALSE)))</f>
        <v>0</v>
      </c>
      <c r="E135" s="42">
        <f t="shared" si="22"/>
        <v>0</v>
      </c>
      <c r="F135" s="41">
        <f>+C135</f>
        <v>200000</v>
      </c>
      <c r="G135" s="2">
        <f t="shared" si="20"/>
        <v>0</v>
      </c>
      <c r="H135" s="18">
        <f t="shared" si="23"/>
        <v>0</v>
      </c>
      <c r="I135" s="41"/>
      <c r="J135" s="20" t="s">
        <v>192</v>
      </c>
      <c r="K135" s="59" t="s">
        <v>211</v>
      </c>
      <c r="L135" s="5" t="s">
        <v>15</v>
      </c>
    </row>
    <row r="136" spans="1:12" s="34" customFormat="1" ht="12.75" outlineLevel="1">
      <c r="A136" s="47" t="s">
        <v>212</v>
      </c>
      <c r="B136" s="41">
        <v>140074</v>
      </c>
      <c r="C136" s="41">
        <v>140074</v>
      </c>
      <c r="D136" s="41">
        <f>IF(ISNA(VLOOKUP(LEFT(A136,5),'[2]Agresso Spend 300911'!A:H,6,FALSE)),0,(VLOOKUP(LEFT(A136,5),'[2]Agresso Spend 300911'!A:H,6,FALSE)))</f>
        <v>0</v>
      </c>
      <c r="E136" s="42">
        <f t="shared" si="22"/>
        <v>0</v>
      </c>
      <c r="F136" s="41">
        <v>140074</v>
      </c>
      <c r="G136" s="2">
        <f t="shared" si="20"/>
        <v>0</v>
      </c>
      <c r="H136" s="18">
        <f t="shared" si="23"/>
        <v>0</v>
      </c>
      <c r="I136" s="41"/>
      <c r="J136" s="20" t="s">
        <v>192</v>
      </c>
      <c r="K136" s="59" t="s">
        <v>211</v>
      </c>
      <c r="L136" s="5" t="s">
        <v>15</v>
      </c>
    </row>
    <row r="137" spans="1:12" s="34" customFormat="1" ht="12.75" outlineLevel="1">
      <c r="A137" s="47" t="s">
        <v>213</v>
      </c>
      <c r="B137" s="41">
        <v>26473</v>
      </c>
      <c r="C137" s="41">
        <v>26473</v>
      </c>
      <c r="D137" s="41">
        <f>IF(ISNA(VLOOKUP(LEFT(A137,5),'[2]Agresso Spend 300911'!A:H,6,FALSE)),0,(VLOOKUP(LEFT(A137,5),'[2]Agresso Spend 300911'!A:H,6,FALSE)))</f>
        <v>0</v>
      </c>
      <c r="E137" s="42">
        <f t="shared" si="22"/>
        <v>0</v>
      </c>
      <c r="F137" s="41">
        <v>26473</v>
      </c>
      <c r="G137" s="2">
        <f t="shared" si="20"/>
        <v>0</v>
      </c>
      <c r="H137" s="18">
        <f t="shared" si="23"/>
        <v>0</v>
      </c>
      <c r="I137" s="41"/>
      <c r="J137" s="20" t="s">
        <v>192</v>
      </c>
      <c r="K137" s="59" t="s">
        <v>211</v>
      </c>
      <c r="L137" s="5" t="s">
        <v>15</v>
      </c>
    </row>
    <row r="138" spans="1:12" s="34" customFormat="1" ht="12.75" outlineLevel="1">
      <c r="A138" s="47" t="s">
        <v>214</v>
      </c>
      <c r="B138" s="41">
        <v>1320</v>
      </c>
      <c r="C138" s="41">
        <v>1320</v>
      </c>
      <c r="D138" s="41">
        <f>IF(ISNA(VLOOKUP(LEFT(A138,5),'[2]Agresso Spend 300911'!A:H,6,FALSE)),0,(VLOOKUP(LEFT(A138,5),'[2]Agresso Spend 300911'!A:H,6,FALSE)))</f>
        <v>0</v>
      </c>
      <c r="E138" s="42">
        <f t="shared" si="22"/>
        <v>0</v>
      </c>
      <c r="F138" s="41">
        <v>1320</v>
      </c>
      <c r="G138" s="2">
        <f t="shared" si="20"/>
        <v>0</v>
      </c>
      <c r="H138" s="18">
        <f t="shared" si="23"/>
        <v>0</v>
      </c>
      <c r="I138" s="41"/>
      <c r="J138" s="20" t="s">
        <v>192</v>
      </c>
      <c r="K138" s="59" t="s">
        <v>211</v>
      </c>
      <c r="L138" s="5" t="s">
        <v>15</v>
      </c>
    </row>
    <row r="139" spans="1:12" s="34" customFormat="1" ht="13.5" customHeight="1" outlineLevel="1">
      <c r="A139" s="47" t="s">
        <v>215</v>
      </c>
      <c r="B139" s="41">
        <v>1260</v>
      </c>
      <c r="C139" s="41">
        <v>1260</v>
      </c>
      <c r="D139" s="41">
        <f>IF(ISNA(VLOOKUP(LEFT(A139,5),'[2]Agresso Spend 300911'!A:H,6,FALSE)),0,(VLOOKUP(LEFT(A139,5),'[2]Agresso Spend 300911'!A:H,6,FALSE)))</f>
        <v>0</v>
      </c>
      <c r="E139" s="42">
        <f t="shared" si="22"/>
        <v>0</v>
      </c>
      <c r="F139" s="41">
        <f>+C139</f>
        <v>1260</v>
      </c>
      <c r="G139" s="2">
        <f t="shared" si="20"/>
        <v>0</v>
      </c>
      <c r="H139" s="18">
        <f t="shared" si="23"/>
        <v>0</v>
      </c>
      <c r="I139" s="41"/>
      <c r="J139" s="20" t="s">
        <v>192</v>
      </c>
      <c r="K139" s="59" t="s">
        <v>211</v>
      </c>
      <c r="L139" s="5" t="s">
        <v>15</v>
      </c>
    </row>
    <row r="140" spans="1:12" ht="25.5" outlineLevel="1">
      <c r="A140" s="17" t="s">
        <v>216</v>
      </c>
      <c r="B140" s="18">
        <v>0</v>
      </c>
      <c r="C140" s="18">
        <v>0</v>
      </c>
      <c r="D140" s="18">
        <f>IF(ISNA(VLOOKUP(LEFT(A140,5),'[2]Agresso Spend 300911'!A:H,6,FALSE)),0,(VLOOKUP(LEFT(A140,5),'[2]Agresso Spend 300911'!A:H,6,FALSE)))</f>
        <v>0</v>
      </c>
      <c r="E140" s="31">
        <v>0</v>
      </c>
      <c r="F140" s="18">
        <v>0</v>
      </c>
      <c r="G140" s="2">
        <f t="shared" si="20"/>
        <v>0</v>
      </c>
      <c r="H140" s="18">
        <f aca="true" t="shared" si="24" ref="H140:H148">G140</f>
        <v>0</v>
      </c>
      <c r="I140" s="18"/>
      <c r="J140" s="20"/>
      <c r="K140" s="46" t="s">
        <v>217</v>
      </c>
      <c r="L140" s="5" t="s">
        <v>15</v>
      </c>
    </row>
    <row r="141" spans="1:12" ht="25.5" outlineLevel="1">
      <c r="A141" s="17" t="s">
        <v>218</v>
      </c>
      <c r="B141" s="18">
        <v>0</v>
      </c>
      <c r="C141" s="18">
        <v>0</v>
      </c>
      <c r="D141" s="18">
        <f>IF(ISNA(VLOOKUP(LEFT(A141,5),'[2]Agresso Spend 300911'!A:H,6,FALSE)),0,(VLOOKUP(LEFT(A141,5),'[2]Agresso Spend 300911'!A:H,6,FALSE)))</f>
        <v>0</v>
      </c>
      <c r="E141" s="31">
        <v>0</v>
      </c>
      <c r="F141" s="18">
        <v>0</v>
      </c>
      <c r="G141" s="2">
        <f t="shared" si="20"/>
        <v>0</v>
      </c>
      <c r="H141" s="18">
        <f t="shared" si="24"/>
        <v>0</v>
      </c>
      <c r="I141" s="18"/>
      <c r="J141" s="20"/>
      <c r="K141" s="46" t="s">
        <v>217</v>
      </c>
      <c r="L141" s="5" t="s">
        <v>15</v>
      </c>
    </row>
    <row r="142" spans="1:12" ht="25.5" outlineLevel="1">
      <c r="A142" s="17" t="s">
        <v>219</v>
      </c>
      <c r="B142" s="18">
        <v>0</v>
      </c>
      <c r="C142" s="18">
        <v>0</v>
      </c>
      <c r="D142" s="18">
        <f>IF(ISNA(VLOOKUP(LEFT(A142,5),'[2]Agresso Spend 300911'!A:H,6,FALSE)),0,(VLOOKUP(LEFT(A142,5),'[2]Agresso Spend 300911'!A:H,6,FALSE)))</f>
        <v>0</v>
      </c>
      <c r="E142" s="31">
        <v>0</v>
      </c>
      <c r="F142" s="18">
        <v>0</v>
      </c>
      <c r="G142" s="2">
        <f t="shared" si="20"/>
        <v>0</v>
      </c>
      <c r="H142" s="18">
        <f t="shared" si="24"/>
        <v>0</v>
      </c>
      <c r="I142" s="18"/>
      <c r="J142" s="20"/>
      <c r="K142" s="52" t="s">
        <v>217</v>
      </c>
      <c r="L142" s="5" t="s">
        <v>15</v>
      </c>
    </row>
    <row r="143" spans="1:12" ht="25.5" outlineLevel="1">
      <c r="A143" s="17" t="s">
        <v>220</v>
      </c>
      <c r="B143" s="18">
        <v>0</v>
      </c>
      <c r="C143" s="18">
        <v>0</v>
      </c>
      <c r="D143" s="18">
        <f>IF(ISNA(VLOOKUP(LEFT(A143,5),'[2]Agresso Spend 300911'!A:H,6,FALSE)),0,(VLOOKUP(LEFT(A143,5),'[2]Agresso Spend 300911'!A:H,6,FALSE)))</f>
        <v>0</v>
      </c>
      <c r="E143" s="31">
        <v>0</v>
      </c>
      <c r="F143" s="18">
        <v>0</v>
      </c>
      <c r="G143" s="2">
        <f t="shared" si="20"/>
        <v>0</v>
      </c>
      <c r="H143" s="18">
        <f t="shared" si="24"/>
        <v>0</v>
      </c>
      <c r="I143" s="18"/>
      <c r="J143" s="20"/>
      <c r="K143" s="52" t="s">
        <v>217</v>
      </c>
      <c r="L143" s="5" t="s">
        <v>15</v>
      </c>
    </row>
    <row r="144" spans="1:12" ht="25.5" outlineLevel="1">
      <c r="A144" s="17" t="s">
        <v>221</v>
      </c>
      <c r="B144" s="18">
        <v>1830</v>
      </c>
      <c r="C144" s="18">
        <v>1830</v>
      </c>
      <c r="D144" s="18">
        <f>IF(ISNA(VLOOKUP(LEFT(A144,5),'[2]Agresso Spend 300911'!A:H,6,FALSE)),0,(VLOOKUP(LEFT(A144,5),'[2]Agresso Spend 300911'!A:H,6,FALSE)))</f>
        <v>0</v>
      </c>
      <c r="E144" s="31">
        <f>D144/C144</f>
        <v>0</v>
      </c>
      <c r="F144" s="18">
        <v>1830</v>
      </c>
      <c r="G144" s="2">
        <f t="shared" si="20"/>
        <v>0</v>
      </c>
      <c r="H144" s="18">
        <f t="shared" si="24"/>
        <v>0</v>
      </c>
      <c r="I144" s="18"/>
      <c r="J144" s="20"/>
      <c r="K144" s="52" t="s">
        <v>217</v>
      </c>
      <c r="L144" s="5" t="s">
        <v>15</v>
      </c>
    </row>
    <row r="145" spans="1:12" ht="25.5" outlineLevel="1">
      <c r="A145" s="17" t="s">
        <v>222</v>
      </c>
      <c r="B145" s="18">
        <v>339</v>
      </c>
      <c r="C145" s="18">
        <v>339</v>
      </c>
      <c r="D145" s="18">
        <f>IF(ISNA(VLOOKUP(LEFT(A145,5),'[2]Agresso Spend 300911'!A:H,6,FALSE)),0,(VLOOKUP(LEFT(A145,5),'[2]Agresso Spend 300911'!A:H,6,FALSE)))</f>
        <v>0</v>
      </c>
      <c r="E145" s="31">
        <f>D145/C145</f>
        <v>0</v>
      </c>
      <c r="F145" s="18">
        <v>339</v>
      </c>
      <c r="G145" s="2">
        <f t="shared" si="20"/>
        <v>0</v>
      </c>
      <c r="H145" s="18">
        <f t="shared" si="24"/>
        <v>0</v>
      </c>
      <c r="I145" s="18"/>
      <c r="J145" s="20"/>
      <c r="K145" s="52" t="s">
        <v>217</v>
      </c>
      <c r="L145" s="5" t="s">
        <v>15</v>
      </c>
    </row>
    <row r="146" spans="1:12" ht="25.5" outlineLevel="1">
      <c r="A146" s="17" t="s">
        <v>223</v>
      </c>
      <c r="B146" s="18">
        <v>0</v>
      </c>
      <c r="C146" s="18">
        <v>0</v>
      </c>
      <c r="D146" s="18">
        <f>IF(ISNA(VLOOKUP(LEFT(A146,5),'[2]Agresso Spend 300911'!A:H,6,FALSE)),0,(VLOOKUP(LEFT(A146,5),'[2]Agresso Spend 300911'!A:H,6,FALSE)))</f>
        <v>0</v>
      </c>
      <c r="E146" s="31">
        <v>0</v>
      </c>
      <c r="F146" s="18">
        <v>0</v>
      </c>
      <c r="G146" s="2">
        <f t="shared" si="20"/>
        <v>0</v>
      </c>
      <c r="H146" s="18">
        <f t="shared" si="24"/>
        <v>0</v>
      </c>
      <c r="I146" s="18"/>
      <c r="J146" s="20"/>
      <c r="K146" s="52" t="s">
        <v>217</v>
      </c>
      <c r="L146" s="5" t="s">
        <v>15</v>
      </c>
    </row>
    <row r="147" spans="1:12" ht="25.5" outlineLevel="1">
      <c r="A147" s="17" t="s">
        <v>224</v>
      </c>
      <c r="B147" s="18">
        <v>60000</v>
      </c>
      <c r="C147" s="18">
        <v>60000</v>
      </c>
      <c r="D147" s="18">
        <f>IF(ISNA(VLOOKUP(LEFT(A147,5),'[2]Agresso Spend 300911'!A:H,6,FALSE)),0,(VLOOKUP(LEFT(A147,5),'[2]Agresso Spend 300911'!A:H,6,FALSE)))</f>
        <v>0</v>
      </c>
      <c r="E147" s="31">
        <f>D147/C147</f>
        <v>0</v>
      </c>
      <c r="F147" s="18">
        <v>60000</v>
      </c>
      <c r="G147" s="2">
        <f t="shared" si="20"/>
        <v>0</v>
      </c>
      <c r="H147" s="18">
        <f t="shared" si="24"/>
        <v>0</v>
      </c>
      <c r="I147" s="18"/>
      <c r="J147" s="20"/>
      <c r="K147" s="52" t="s">
        <v>217</v>
      </c>
      <c r="L147" s="5" t="s">
        <v>15</v>
      </c>
    </row>
    <row r="148" spans="1:12" ht="25.5" outlineLevel="1">
      <c r="A148" s="17" t="s">
        <v>225</v>
      </c>
      <c r="B148" s="18">
        <v>0</v>
      </c>
      <c r="C148" s="18">
        <v>0</v>
      </c>
      <c r="D148" s="18">
        <f>IF(ISNA(VLOOKUP(LEFT(A148,5),'[2]Agresso Spend 300911'!A:H,6,FALSE)),0,(VLOOKUP(LEFT(A148,5),'[2]Agresso Spend 300911'!A:H,6,FALSE)))</f>
        <v>0</v>
      </c>
      <c r="E148" s="31">
        <v>0</v>
      </c>
      <c r="F148" s="18">
        <v>0</v>
      </c>
      <c r="G148" s="2">
        <f t="shared" si="20"/>
        <v>0</v>
      </c>
      <c r="H148" s="18">
        <f t="shared" si="24"/>
        <v>0</v>
      </c>
      <c r="I148" s="18"/>
      <c r="J148" s="20"/>
      <c r="K148" s="52" t="s">
        <v>217</v>
      </c>
      <c r="L148" s="5" t="s">
        <v>15</v>
      </c>
    </row>
    <row r="149" spans="1:11" ht="25.5" outlineLevel="1">
      <c r="A149" t="s">
        <v>226</v>
      </c>
      <c r="B149" s="2">
        <v>0</v>
      </c>
      <c r="C149" s="2">
        <v>19000</v>
      </c>
      <c r="D149" s="18">
        <f>IF(ISNA(VLOOKUP(LEFT(A149,5),'[2]Agresso Spend 300911'!A:H,6,FALSE)),0,(VLOOKUP(LEFT(A149,5),'[2]Agresso Spend 300911'!A:H,6,FALSE)))</f>
        <v>0</v>
      </c>
      <c r="E149" s="3">
        <v>0</v>
      </c>
      <c r="F149" s="2">
        <f>C149</f>
        <v>19000</v>
      </c>
      <c r="G149" s="2">
        <f t="shared" si="20"/>
        <v>0</v>
      </c>
      <c r="H149" s="18">
        <f aca="true" t="shared" si="25" ref="H149:H154">G149</f>
        <v>0</v>
      </c>
      <c r="I149" s="18"/>
      <c r="K149" s="48" t="s">
        <v>227</v>
      </c>
    </row>
    <row r="150" spans="1:11" ht="25.5" outlineLevel="1">
      <c r="A150" t="s">
        <v>228</v>
      </c>
      <c r="B150" s="2">
        <v>0</v>
      </c>
      <c r="C150" s="2">
        <v>25000</v>
      </c>
      <c r="D150" s="18">
        <f>IF(ISNA(VLOOKUP(LEFT(A150,5),'[2]Agresso Spend 300911'!A:H,6,FALSE)),0,(VLOOKUP(LEFT(A150,5),'[2]Agresso Spend 300911'!A:H,6,FALSE)))</f>
        <v>0</v>
      </c>
      <c r="E150" s="3">
        <v>0</v>
      </c>
      <c r="F150" s="2">
        <f>C150</f>
        <v>25000</v>
      </c>
      <c r="G150" s="2">
        <f t="shared" si="20"/>
        <v>0</v>
      </c>
      <c r="H150" s="18">
        <f t="shared" si="25"/>
        <v>0</v>
      </c>
      <c r="I150" s="18"/>
      <c r="K150" s="48" t="s">
        <v>229</v>
      </c>
    </row>
    <row r="151" spans="1:11" ht="25.5" outlineLevel="1">
      <c r="A151" t="s">
        <v>230</v>
      </c>
      <c r="B151" s="2">
        <v>0</v>
      </c>
      <c r="C151" s="2">
        <v>17000</v>
      </c>
      <c r="D151" s="18">
        <f>IF(ISNA(VLOOKUP(LEFT(A151,5),'[2]Agresso Spend 300911'!A:H,6,FALSE)),0,(VLOOKUP(LEFT(A151,5),'[2]Agresso Spend 300911'!A:H,6,FALSE)))</f>
        <v>0</v>
      </c>
      <c r="E151" s="3">
        <v>0</v>
      </c>
      <c r="F151" s="2">
        <f>C151</f>
        <v>17000</v>
      </c>
      <c r="G151" s="2">
        <f t="shared" si="20"/>
        <v>0</v>
      </c>
      <c r="H151" s="18">
        <f t="shared" si="25"/>
        <v>0</v>
      </c>
      <c r="I151" s="18"/>
      <c r="K151" s="48" t="s">
        <v>231</v>
      </c>
    </row>
    <row r="152" spans="1:12" ht="12.75" outlineLevel="1">
      <c r="A152" s="17" t="s">
        <v>232</v>
      </c>
      <c r="B152" s="18">
        <v>50000</v>
      </c>
      <c r="C152" s="18">
        <v>50000</v>
      </c>
      <c r="D152" s="18">
        <f>IF(ISNA(VLOOKUP(LEFT(A152,5),'[2]Agresso Spend 300911'!A:H,6,FALSE)),0,(VLOOKUP(LEFT(A152,5),'[2]Agresso Spend 300911'!A:H,6,FALSE)))</f>
        <v>0</v>
      </c>
      <c r="E152" s="31">
        <f>D152/C152</f>
        <v>0</v>
      </c>
      <c r="F152" s="18">
        <v>50000</v>
      </c>
      <c r="G152" s="2">
        <f t="shared" si="20"/>
        <v>0</v>
      </c>
      <c r="H152" s="18">
        <f t="shared" si="25"/>
        <v>0</v>
      </c>
      <c r="I152" s="18"/>
      <c r="J152" s="20"/>
      <c r="K152" s="52" t="s">
        <v>233</v>
      </c>
      <c r="L152" s="5" t="s">
        <v>15</v>
      </c>
    </row>
    <row r="153" spans="1:12" ht="13.5" customHeight="1" outlineLevel="1">
      <c r="A153" s="17" t="s">
        <v>234</v>
      </c>
      <c r="B153" s="18">
        <v>38000</v>
      </c>
      <c r="C153" s="18">
        <v>38000</v>
      </c>
      <c r="D153" s="18">
        <f>IF(ISNA(VLOOKUP(LEFT(A153,5),'[2]Agresso Spend 300911'!A:H,6,FALSE)),0,(VLOOKUP(LEFT(A153,5),'[2]Agresso Spend 300911'!A:H,6,FALSE)))</f>
        <v>0</v>
      </c>
      <c r="E153" s="31">
        <f>D153/C153</f>
        <v>0</v>
      </c>
      <c r="F153" s="18">
        <f>C153</f>
        <v>38000</v>
      </c>
      <c r="G153" s="2">
        <f t="shared" si="20"/>
        <v>0</v>
      </c>
      <c r="H153" s="18">
        <f t="shared" si="25"/>
        <v>0</v>
      </c>
      <c r="I153" s="18"/>
      <c r="J153" s="20"/>
      <c r="K153" s="52" t="s">
        <v>235</v>
      </c>
      <c r="L153" s="5" t="s">
        <v>15</v>
      </c>
    </row>
    <row r="154" spans="1:12" ht="12.75" outlineLevel="1">
      <c r="A154" s="17" t="s">
        <v>236</v>
      </c>
      <c r="B154" s="18">
        <v>14000</v>
      </c>
      <c r="C154" s="18">
        <v>14000</v>
      </c>
      <c r="D154" s="18">
        <f>IF(ISNA(VLOOKUP(LEFT(A154,5),'[2]Agresso Spend 300911'!A:H,6,FALSE)),0,(VLOOKUP(LEFT(A154,5),'[2]Agresso Spend 300911'!A:H,6,FALSE)))</f>
        <v>0</v>
      </c>
      <c r="E154" s="31">
        <f>D154/C154</f>
        <v>0</v>
      </c>
      <c r="F154" s="18">
        <v>14000</v>
      </c>
      <c r="G154" s="2">
        <f t="shared" si="20"/>
        <v>0</v>
      </c>
      <c r="H154" s="18">
        <f t="shared" si="25"/>
        <v>0</v>
      </c>
      <c r="I154" s="18"/>
      <c r="J154" s="20"/>
      <c r="K154" s="52" t="s">
        <v>233</v>
      </c>
      <c r="L154" s="5" t="s">
        <v>15</v>
      </c>
    </row>
    <row r="155" spans="1:12" ht="13.5" customHeight="1" outlineLevel="1">
      <c r="A155" s="17" t="s">
        <v>237</v>
      </c>
      <c r="B155" s="18">
        <v>0</v>
      </c>
      <c r="C155" s="18">
        <v>0</v>
      </c>
      <c r="D155" s="18">
        <f>IF(ISNA(VLOOKUP(LEFT(A155,5),'[2]Agresso Spend 300911'!A:H,6,FALSE)),0,(VLOOKUP(LEFT(A155,5),'[2]Agresso Spend 300911'!A:H,6,FALSE)))</f>
        <v>0</v>
      </c>
      <c r="E155" s="31">
        <v>0</v>
      </c>
      <c r="F155" s="18">
        <v>0</v>
      </c>
      <c r="G155" s="2">
        <f t="shared" si="20"/>
        <v>0</v>
      </c>
      <c r="H155" s="18">
        <f aca="true" t="shared" si="26" ref="H155:H163">G155</f>
        <v>0</v>
      </c>
      <c r="I155" s="18"/>
      <c r="J155" s="20"/>
      <c r="K155" s="52" t="s">
        <v>238</v>
      </c>
      <c r="L155" s="5" t="s">
        <v>15</v>
      </c>
    </row>
    <row r="156" spans="1:12" ht="13.5" customHeight="1" outlineLevel="1">
      <c r="A156" s="17" t="s">
        <v>239</v>
      </c>
      <c r="B156" s="18">
        <v>6960</v>
      </c>
      <c r="C156" s="18">
        <v>6960</v>
      </c>
      <c r="D156" s="18">
        <f>IF(ISNA(VLOOKUP(LEFT(A156,5),'[2]Agresso Spend 300911'!A:H,6,FALSE)),0,(VLOOKUP(LEFT(A156,5),'[2]Agresso Spend 300911'!A:H,6,FALSE)))</f>
        <v>0</v>
      </c>
      <c r="E156" s="31">
        <f aca="true" t="shared" si="27" ref="E156:E163">D156/C156</f>
        <v>0</v>
      </c>
      <c r="F156" s="18">
        <f aca="true" t="shared" si="28" ref="F156:F163">+C156</f>
        <v>6960</v>
      </c>
      <c r="G156" s="2">
        <f t="shared" si="20"/>
        <v>0</v>
      </c>
      <c r="H156" s="18">
        <f t="shared" si="26"/>
        <v>0</v>
      </c>
      <c r="I156" s="18"/>
      <c r="J156" s="20"/>
      <c r="K156" s="52" t="s">
        <v>238</v>
      </c>
      <c r="L156" s="5" t="s">
        <v>15</v>
      </c>
    </row>
    <row r="157" spans="1:12" ht="13.5" customHeight="1" outlineLevel="1">
      <c r="A157" s="17" t="s">
        <v>240</v>
      </c>
      <c r="B157" s="18">
        <v>2100</v>
      </c>
      <c r="C157" s="18">
        <v>2100</v>
      </c>
      <c r="D157" s="18">
        <f>IF(ISNA(VLOOKUP(LEFT(A157,5),'[2]Agresso Spend 300911'!A:H,6,FALSE)),0,(VLOOKUP(LEFT(A157,5),'[2]Agresso Spend 300911'!A:H,6,FALSE)))</f>
        <v>0</v>
      </c>
      <c r="E157" s="31">
        <f t="shared" si="27"/>
        <v>0</v>
      </c>
      <c r="F157" s="18">
        <f t="shared" si="28"/>
        <v>2100</v>
      </c>
      <c r="G157" s="2">
        <f t="shared" si="20"/>
        <v>0</v>
      </c>
      <c r="H157" s="18">
        <f t="shared" si="26"/>
        <v>0</v>
      </c>
      <c r="I157" s="18"/>
      <c r="J157" s="20"/>
      <c r="K157" s="52" t="s">
        <v>238</v>
      </c>
      <c r="L157" s="5" t="s">
        <v>15</v>
      </c>
    </row>
    <row r="158" spans="1:12" ht="13.5" customHeight="1" outlineLevel="1">
      <c r="A158" s="17" t="s">
        <v>241</v>
      </c>
      <c r="B158" s="18">
        <v>11018</v>
      </c>
      <c r="C158" s="18">
        <v>11018</v>
      </c>
      <c r="D158" s="18">
        <f>IF(ISNA(VLOOKUP(LEFT(A158,5),'[2]Agresso Spend 300911'!A:H,6,FALSE)),0,(VLOOKUP(LEFT(A158,5),'[2]Agresso Spend 300911'!A:H,6,FALSE)))</f>
        <v>0</v>
      </c>
      <c r="E158" s="31">
        <f t="shared" si="27"/>
        <v>0</v>
      </c>
      <c r="F158" s="18">
        <f t="shared" si="28"/>
        <v>11018</v>
      </c>
      <c r="G158" s="2">
        <f t="shared" si="20"/>
        <v>0</v>
      </c>
      <c r="H158" s="18">
        <f t="shared" si="26"/>
        <v>0</v>
      </c>
      <c r="I158" s="18"/>
      <c r="J158" s="20"/>
      <c r="K158" s="52" t="s">
        <v>238</v>
      </c>
      <c r="L158" s="5" t="s">
        <v>15</v>
      </c>
    </row>
    <row r="159" spans="1:12" ht="13.5" customHeight="1" outlineLevel="1">
      <c r="A159" s="17" t="s">
        <v>242</v>
      </c>
      <c r="B159" s="18">
        <v>631</v>
      </c>
      <c r="C159" s="18">
        <v>631</v>
      </c>
      <c r="D159" s="18">
        <f>IF(ISNA(VLOOKUP(LEFT(A159,5),'[2]Agresso Spend 300911'!A:H,6,FALSE)),0,(VLOOKUP(LEFT(A159,5),'[2]Agresso Spend 300911'!A:H,6,FALSE)))</f>
        <v>0</v>
      </c>
      <c r="E159" s="31">
        <f t="shared" si="27"/>
        <v>0</v>
      </c>
      <c r="F159" s="18">
        <f t="shared" si="28"/>
        <v>631</v>
      </c>
      <c r="G159" s="2">
        <f t="shared" si="20"/>
        <v>0</v>
      </c>
      <c r="H159" s="18">
        <f t="shared" si="26"/>
        <v>0</v>
      </c>
      <c r="I159" s="18"/>
      <c r="J159" s="20"/>
      <c r="K159" s="52" t="s">
        <v>238</v>
      </c>
      <c r="L159" s="5" t="s">
        <v>15</v>
      </c>
    </row>
    <row r="160" spans="1:12" ht="13.5" customHeight="1" outlineLevel="1">
      <c r="A160" s="17" t="s">
        <v>243</v>
      </c>
      <c r="B160" s="18">
        <v>7002</v>
      </c>
      <c r="C160" s="18">
        <v>7002</v>
      </c>
      <c r="D160" s="18">
        <f>IF(ISNA(VLOOKUP(LEFT(A160,5),'[2]Agresso Spend 300911'!A:H,6,FALSE)),0,(VLOOKUP(LEFT(A160,5),'[2]Agresso Spend 300911'!A:H,6,FALSE)))</f>
        <v>0</v>
      </c>
      <c r="E160" s="31">
        <f t="shared" si="27"/>
        <v>0</v>
      </c>
      <c r="F160" s="18">
        <f t="shared" si="28"/>
        <v>7002</v>
      </c>
      <c r="G160" s="2">
        <f t="shared" si="20"/>
        <v>0</v>
      </c>
      <c r="H160" s="18">
        <f t="shared" si="26"/>
        <v>0</v>
      </c>
      <c r="I160" s="18"/>
      <c r="J160" s="20"/>
      <c r="K160" s="52" t="s">
        <v>238</v>
      </c>
      <c r="L160" s="5" t="s">
        <v>15</v>
      </c>
    </row>
    <row r="161" spans="1:12" ht="13.5" customHeight="1" outlineLevel="1">
      <c r="A161" s="17" t="s">
        <v>244</v>
      </c>
      <c r="B161" s="18">
        <v>3000</v>
      </c>
      <c r="C161" s="18">
        <v>3000</v>
      </c>
      <c r="D161" s="18">
        <f>IF(ISNA(VLOOKUP(LEFT(A161,5),'[2]Agresso Spend 300911'!A:H,6,FALSE)),0,(VLOOKUP(LEFT(A161,5),'[2]Agresso Spend 300911'!A:H,6,FALSE)))</f>
        <v>0</v>
      </c>
      <c r="E161" s="31">
        <f t="shared" si="27"/>
        <v>0</v>
      </c>
      <c r="F161" s="18">
        <f t="shared" si="28"/>
        <v>3000</v>
      </c>
      <c r="G161" s="2">
        <f t="shared" si="20"/>
        <v>0</v>
      </c>
      <c r="H161" s="18">
        <f t="shared" si="26"/>
        <v>0</v>
      </c>
      <c r="I161" s="18"/>
      <c r="J161" s="20"/>
      <c r="K161" s="52" t="s">
        <v>238</v>
      </c>
      <c r="L161" s="5" t="s">
        <v>15</v>
      </c>
    </row>
    <row r="162" spans="1:12" ht="13.5" customHeight="1" outlineLevel="1">
      <c r="A162" s="17" t="s">
        <v>245</v>
      </c>
      <c r="B162" s="18">
        <v>3000</v>
      </c>
      <c r="C162" s="18">
        <v>3000</v>
      </c>
      <c r="D162" s="18">
        <f>IF(ISNA(VLOOKUP(LEFT(A162,5),'[2]Agresso Spend 300911'!A:H,6,FALSE)),0,(VLOOKUP(LEFT(A162,5),'[2]Agresso Spend 300911'!A:H,6,FALSE)))</f>
        <v>0</v>
      </c>
      <c r="E162" s="31">
        <f t="shared" si="27"/>
        <v>0</v>
      </c>
      <c r="F162" s="18">
        <f t="shared" si="28"/>
        <v>3000</v>
      </c>
      <c r="G162" s="2">
        <f t="shared" si="20"/>
        <v>0</v>
      </c>
      <c r="H162" s="18">
        <f t="shared" si="26"/>
        <v>0</v>
      </c>
      <c r="I162" s="18"/>
      <c r="J162" s="20"/>
      <c r="K162" s="52" t="s">
        <v>238</v>
      </c>
      <c r="L162" s="5" t="s">
        <v>15</v>
      </c>
    </row>
    <row r="163" spans="1:12" ht="13.5" customHeight="1" outlineLevel="1">
      <c r="A163" s="17" t="s">
        <v>246</v>
      </c>
      <c r="B163" s="18">
        <v>8000</v>
      </c>
      <c r="C163" s="18">
        <v>8000</v>
      </c>
      <c r="D163" s="18">
        <f>IF(ISNA(VLOOKUP(LEFT(A163,5),'[2]Agresso Spend 300911'!A:H,6,FALSE)),0,(VLOOKUP(LEFT(A163,5),'[2]Agresso Spend 300911'!A:H,6,FALSE)))</f>
        <v>0</v>
      </c>
      <c r="E163" s="31">
        <f t="shared" si="27"/>
        <v>0</v>
      </c>
      <c r="F163" s="18">
        <f t="shared" si="28"/>
        <v>8000</v>
      </c>
      <c r="G163" s="2">
        <f t="shared" si="20"/>
        <v>0</v>
      </c>
      <c r="H163" s="18">
        <f t="shared" si="26"/>
        <v>0</v>
      </c>
      <c r="I163" s="18"/>
      <c r="J163" s="20"/>
      <c r="K163" s="52" t="s">
        <v>238</v>
      </c>
      <c r="L163" s="5" t="s">
        <v>15</v>
      </c>
    </row>
    <row r="164" spans="1:11" ht="13.5" customHeight="1" outlineLevel="1">
      <c r="A164" s="17"/>
      <c r="B164" s="18"/>
      <c r="C164" s="18"/>
      <c r="D164" s="18"/>
      <c r="E164" s="31"/>
      <c r="F164" s="18"/>
      <c r="G164" s="18"/>
      <c r="H164" s="18"/>
      <c r="I164" s="18"/>
      <c r="J164" s="20"/>
      <c r="K164" s="52"/>
    </row>
    <row r="165" spans="1:12" s="25" customFormat="1" ht="12.75">
      <c r="A165" s="21" t="s">
        <v>247</v>
      </c>
      <c r="B165" s="22">
        <v>10827759</v>
      </c>
      <c r="C165" s="22">
        <f>+SUM(C123:C163)</f>
        <v>10756214</v>
      </c>
      <c r="D165" s="22">
        <f>SUM(D123:D163)</f>
        <v>830733.1399999999</v>
      </c>
      <c r="E165" s="23">
        <f>D165/C165</f>
        <v>0.07723285721165457</v>
      </c>
      <c r="F165" s="22">
        <f>SUM(F123:F163)</f>
        <v>3268143</v>
      </c>
      <c r="G165" s="22">
        <f>SUM(G123:G163)</f>
        <v>-7488071</v>
      </c>
      <c r="H165" s="22">
        <f>SUM(H123:H163)</f>
        <v>-6688071</v>
      </c>
      <c r="I165" s="22">
        <f>SUM(I123:I163)</f>
        <v>-800000</v>
      </c>
      <c r="J165" s="24"/>
      <c r="K165" s="50"/>
      <c r="L165" s="5" t="s">
        <v>15</v>
      </c>
    </row>
    <row r="166" spans="2:12" s="26" customFormat="1" ht="11.25" customHeight="1">
      <c r="B166" s="27"/>
      <c r="C166" s="27"/>
      <c r="D166" s="27"/>
      <c r="E166" s="28"/>
      <c r="F166" s="27"/>
      <c r="G166" s="27"/>
      <c r="H166" s="27"/>
      <c r="I166" s="27"/>
      <c r="J166" s="29"/>
      <c r="K166" s="51"/>
      <c r="L166" s="30"/>
    </row>
    <row r="167" spans="1:12" ht="25.5" outlineLevel="1">
      <c r="A167" s="17" t="s">
        <v>248</v>
      </c>
      <c r="B167" s="18">
        <v>0</v>
      </c>
      <c r="C167" s="18">
        <v>92000</v>
      </c>
      <c r="D167" s="18">
        <f>IF(ISNA(VLOOKUP(LEFT(A167,5),'[2]Agresso Spend 300911'!A:H,6,FALSE)),0,(VLOOKUP(LEFT(A167,5),'[2]Agresso Spend 300911'!A:H,6,FALSE)))</f>
        <v>60505</v>
      </c>
      <c r="E167" s="31"/>
      <c r="F167" s="18">
        <v>60550</v>
      </c>
      <c r="G167" s="2">
        <f aca="true" t="shared" si="29" ref="G167:G172">F167-C167</f>
        <v>-31450</v>
      </c>
      <c r="H167" s="18">
        <f aca="true" t="shared" si="30" ref="H167:H172">G167</f>
        <v>-31450</v>
      </c>
      <c r="I167" s="18"/>
      <c r="J167" s="20" t="s">
        <v>249</v>
      </c>
      <c r="K167" s="48" t="s">
        <v>250</v>
      </c>
      <c r="L167" s="5" t="s">
        <v>15</v>
      </c>
    </row>
    <row r="168" spans="1:12" ht="12.75" outlineLevel="1">
      <c r="A168" s="17" t="s">
        <v>251</v>
      </c>
      <c r="B168" s="18">
        <v>783400</v>
      </c>
      <c r="C168" s="18">
        <v>783400</v>
      </c>
      <c r="D168" s="18">
        <f>IF(ISNA(VLOOKUP(LEFT(A168,5),'[2]Agresso Spend 300911'!A:H,6,FALSE)),0,(VLOOKUP(LEFT(A168,5),'[2]Agresso Spend 300911'!A:H,6,FALSE)))</f>
        <v>397177.78</v>
      </c>
      <c r="E168" s="31">
        <f>D168/C168</f>
        <v>0.506992315547613</v>
      </c>
      <c r="F168" s="18">
        <v>783400</v>
      </c>
      <c r="G168" s="2">
        <f t="shared" si="29"/>
        <v>0</v>
      </c>
      <c r="H168" s="18">
        <f t="shared" si="30"/>
        <v>0</v>
      </c>
      <c r="I168" s="18"/>
      <c r="J168" s="20" t="s">
        <v>252</v>
      </c>
      <c r="K168" s="52" t="s">
        <v>253</v>
      </c>
      <c r="L168" s="5" t="s">
        <v>15</v>
      </c>
    </row>
    <row r="169" spans="1:12" ht="12.75" outlineLevel="1">
      <c r="A169" s="17" t="s">
        <v>254</v>
      </c>
      <c r="B169" s="18">
        <v>0</v>
      </c>
      <c r="C169" s="18">
        <v>167500</v>
      </c>
      <c r="D169" s="18">
        <v>181169</v>
      </c>
      <c r="E169" s="31">
        <f>D169/C169</f>
        <v>1.0816059701492537</v>
      </c>
      <c r="F169" s="18">
        <v>230000</v>
      </c>
      <c r="G169" s="2">
        <f t="shared" si="29"/>
        <v>62500</v>
      </c>
      <c r="H169" s="18">
        <f t="shared" si="30"/>
        <v>62500</v>
      </c>
      <c r="I169" s="18"/>
      <c r="J169" s="20" t="s">
        <v>255</v>
      </c>
      <c r="K169" s="52" t="s">
        <v>256</v>
      </c>
      <c r="L169" s="5" t="s">
        <v>15</v>
      </c>
    </row>
    <row r="170" spans="1:12" ht="25.5" outlineLevel="1">
      <c r="A170" s="17" t="s">
        <v>257</v>
      </c>
      <c r="B170" s="18">
        <v>30000</v>
      </c>
      <c r="C170" s="18">
        <v>30000</v>
      </c>
      <c r="D170" s="18">
        <f>IF(ISNA(VLOOKUP(LEFT(A170,5),'[2]Agresso Spend 300911'!A:H,6,FALSE)),0,(VLOOKUP(LEFT(A170,5),'[2]Agresso Spend 300911'!A:H,6,FALSE)))</f>
        <v>0</v>
      </c>
      <c r="E170" s="31">
        <f>D170/C170</f>
        <v>0</v>
      </c>
      <c r="F170" s="18">
        <v>30000</v>
      </c>
      <c r="G170" s="2">
        <f t="shared" si="29"/>
        <v>0</v>
      </c>
      <c r="H170" s="18">
        <f t="shared" si="30"/>
        <v>0</v>
      </c>
      <c r="I170" s="18"/>
      <c r="J170" s="20" t="s">
        <v>252</v>
      </c>
      <c r="K170" s="48" t="s">
        <v>258</v>
      </c>
      <c r="L170" s="5" t="s">
        <v>15</v>
      </c>
    </row>
    <row r="171" spans="1:12" s="45" customFormat="1" ht="38.25" outlineLevel="1">
      <c r="A171" s="44" t="s">
        <v>259</v>
      </c>
      <c r="B171" s="18">
        <v>308000</v>
      </c>
      <c r="C171" s="18">
        <v>140500</v>
      </c>
      <c r="D171" s="2"/>
      <c r="E171" s="31">
        <f>D171/C171</f>
        <v>0</v>
      </c>
      <c r="F171" s="18">
        <v>155000</v>
      </c>
      <c r="G171" s="2">
        <f t="shared" si="29"/>
        <v>14500</v>
      </c>
      <c r="H171" s="18">
        <f t="shared" si="30"/>
        <v>14500</v>
      </c>
      <c r="I171" s="18"/>
      <c r="J171" s="20" t="s">
        <v>252</v>
      </c>
      <c r="K171" s="58" t="s">
        <v>260</v>
      </c>
      <c r="L171" s="5" t="s">
        <v>15</v>
      </c>
    </row>
    <row r="172" spans="1:12" ht="12.75" outlineLevel="1">
      <c r="A172" s="17" t="s">
        <v>261</v>
      </c>
      <c r="B172" s="18">
        <v>50000</v>
      </c>
      <c r="C172" s="18">
        <v>50000</v>
      </c>
      <c r="D172" s="18">
        <f>IF(ISNA(VLOOKUP(LEFT(A172,5),'[2]Agresso Spend 300911'!A:H,6,FALSE)),0,(VLOOKUP(LEFT(A172,5),'[2]Agresso Spend 300911'!A:H,6,FALSE)))</f>
        <v>0</v>
      </c>
      <c r="E172" s="31">
        <f>D172/C172</f>
        <v>0</v>
      </c>
      <c r="F172" s="18">
        <v>50000</v>
      </c>
      <c r="G172" s="2">
        <f t="shared" si="29"/>
        <v>0</v>
      </c>
      <c r="H172" s="18">
        <f t="shared" si="30"/>
        <v>0</v>
      </c>
      <c r="I172" s="18"/>
      <c r="J172" s="20" t="s">
        <v>249</v>
      </c>
      <c r="K172" s="52" t="s">
        <v>262</v>
      </c>
      <c r="L172" s="5" t="s">
        <v>15</v>
      </c>
    </row>
    <row r="173" spans="1:11" ht="12.75" outlineLevel="1">
      <c r="A173" s="17"/>
      <c r="B173" s="18"/>
      <c r="C173" s="18"/>
      <c r="D173" s="18"/>
      <c r="E173" s="31"/>
      <c r="F173" s="18"/>
      <c r="G173" s="18"/>
      <c r="H173" s="18"/>
      <c r="I173" s="18"/>
      <c r="J173" s="20"/>
      <c r="K173" s="52"/>
    </row>
    <row r="174" spans="1:12" s="25" customFormat="1" ht="12.75">
      <c r="A174" s="21" t="s">
        <v>263</v>
      </c>
      <c r="B174" s="22">
        <v>1171400</v>
      </c>
      <c r="C174" s="22">
        <v>1263400</v>
      </c>
      <c r="D174" s="22">
        <f>SUM(D167:D173)</f>
        <v>638851.78</v>
      </c>
      <c r="E174" s="23">
        <f>D174/C174</f>
        <v>0.5056607408580023</v>
      </c>
      <c r="F174" s="22">
        <f>SUM(F167:F173)</f>
        <v>1308950</v>
      </c>
      <c r="G174" s="22">
        <f>SUM(G167:G173)</f>
        <v>45550</v>
      </c>
      <c r="H174" s="22">
        <f>SUM(H167:H172)</f>
        <v>45550</v>
      </c>
      <c r="I174" s="22">
        <f>SUM(I167:I172)</f>
        <v>0</v>
      </c>
      <c r="J174" s="24"/>
      <c r="K174" s="50"/>
      <c r="L174" s="5" t="s">
        <v>15</v>
      </c>
    </row>
    <row r="175" spans="2:12" s="26" customFormat="1" ht="12.75" customHeight="1">
      <c r="B175" s="27"/>
      <c r="C175" s="27"/>
      <c r="D175" s="27"/>
      <c r="E175" s="28"/>
      <c r="F175" s="27"/>
      <c r="G175" s="27"/>
      <c r="H175" s="27"/>
      <c r="I175" s="27"/>
      <c r="J175" s="29"/>
      <c r="K175" s="51"/>
      <c r="L175" s="30"/>
    </row>
    <row r="176" spans="1:12" ht="38.25" outlineLevel="1">
      <c r="A176" s="17" t="s">
        <v>264</v>
      </c>
      <c r="B176" s="18">
        <v>100000</v>
      </c>
      <c r="C176" s="18">
        <v>100000</v>
      </c>
      <c r="D176" s="18">
        <v>0</v>
      </c>
      <c r="E176" s="31">
        <f>D176/C176</f>
        <v>0</v>
      </c>
      <c r="F176" s="18">
        <f>+C176</f>
        <v>100000</v>
      </c>
      <c r="G176" s="2">
        <f>F176-C176</f>
        <v>0</v>
      </c>
      <c r="H176" s="18">
        <f>G176</f>
        <v>0</v>
      </c>
      <c r="I176" s="18"/>
      <c r="J176" s="20" t="s">
        <v>265</v>
      </c>
      <c r="K176" s="52" t="s">
        <v>266</v>
      </c>
      <c r="L176" s="5" t="s">
        <v>15</v>
      </c>
    </row>
    <row r="177" spans="1:12" ht="12.75" outlineLevel="1">
      <c r="A177" s="17" t="s">
        <v>267</v>
      </c>
      <c r="B177" s="18">
        <v>200000</v>
      </c>
      <c r="C177" s="18">
        <v>200000</v>
      </c>
      <c r="D177" s="18">
        <f>IF(ISNA(VLOOKUP(LEFT(A177,5),'[2]Agresso Spend 300911'!A:H,6,FALSE)),0,(VLOOKUP(LEFT(A177,5),'[2]Agresso Spend 300911'!A:H,6,FALSE)))</f>
        <v>0</v>
      </c>
      <c r="E177" s="31">
        <f>D177/C177</f>
        <v>0</v>
      </c>
      <c r="F177" s="18">
        <f>+C177</f>
        <v>200000</v>
      </c>
      <c r="G177" s="2">
        <f>F177-C177</f>
        <v>0</v>
      </c>
      <c r="H177" s="18">
        <f>G177</f>
        <v>0</v>
      </c>
      <c r="I177" s="18"/>
      <c r="J177" s="20" t="s">
        <v>265</v>
      </c>
      <c r="K177" s="52"/>
      <c r="L177" s="5" t="s">
        <v>15</v>
      </c>
    </row>
    <row r="178" spans="1:11" ht="12.75" outlineLevel="1">
      <c r="A178" s="17"/>
      <c r="B178" s="18"/>
      <c r="C178" s="18"/>
      <c r="D178" s="18"/>
      <c r="E178" s="31"/>
      <c r="F178" s="18"/>
      <c r="G178" s="18"/>
      <c r="H178" s="18"/>
      <c r="I178" s="18"/>
      <c r="J178" s="20"/>
      <c r="K178" s="52"/>
    </row>
    <row r="179" spans="1:12" s="25" customFormat="1" ht="12.75">
      <c r="A179" s="21" t="s">
        <v>268</v>
      </c>
      <c r="B179" s="22">
        <v>300000</v>
      </c>
      <c r="C179" s="22">
        <v>300000</v>
      </c>
      <c r="D179" s="22">
        <f>SUM(D176:D177)</f>
        <v>0</v>
      </c>
      <c r="E179" s="23">
        <f>D179/C179</f>
        <v>0</v>
      </c>
      <c r="F179" s="22">
        <f>SUM(F176:F177)</f>
        <v>300000</v>
      </c>
      <c r="G179" s="22">
        <f>SUM(G176:G177)</f>
        <v>0</v>
      </c>
      <c r="H179" s="22">
        <f>SUM(H176:H177)</f>
        <v>0</v>
      </c>
      <c r="I179" s="22">
        <f>SUM(I176:I177)</f>
        <v>0</v>
      </c>
      <c r="J179" s="24"/>
      <c r="K179" s="50"/>
      <c r="L179" s="5" t="s">
        <v>15</v>
      </c>
    </row>
    <row r="180" spans="2:12" s="26" customFormat="1" ht="13.5" customHeight="1">
      <c r="B180" s="27"/>
      <c r="C180" s="27"/>
      <c r="D180" s="27"/>
      <c r="E180" s="28"/>
      <c r="F180" s="27"/>
      <c r="G180" s="27"/>
      <c r="H180" s="27"/>
      <c r="I180" s="27"/>
      <c r="J180" s="29"/>
      <c r="K180" s="51"/>
      <c r="L180" s="30"/>
    </row>
    <row r="181" spans="1:12" s="25" customFormat="1" ht="12.75">
      <c r="A181" s="21" t="s">
        <v>269</v>
      </c>
      <c r="B181" s="22">
        <v>21003435.55</v>
      </c>
      <c r="C181" s="22">
        <f>+C179+C174+C165+C121+C116+C52+C28+C23</f>
        <v>23608113.06</v>
      </c>
      <c r="D181" s="22">
        <f>+D179+D174+D165+D121+D116+D52+D28+D23</f>
        <v>5498081.0200000005</v>
      </c>
      <c r="E181" s="23">
        <f>D181/C181</f>
        <v>0.23288947346306893</v>
      </c>
      <c r="F181" s="22">
        <f>+F179+F174+F165+F121+F116+F52+F28+F23</f>
        <v>15393009</v>
      </c>
      <c r="G181" s="22">
        <f>+G179+G174+G165+G121+G116+G52+G28+G23</f>
        <v>-8115104.06</v>
      </c>
      <c r="H181" s="22">
        <f>+H179+H174+H165+H121+H116+H52+H28+H23</f>
        <v>-7057509.0600000005</v>
      </c>
      <c r="I181" s="22">
        <f>+I179+I174+I165+I121+I116+I52+I28+I23</f>
        <v>-1057595</v>
      </c>
      <c r="J181" s="24"/>
      <c r="K181" s="50"/>
      <c r="L181" s="5" t="s">
        <v>15</v>
      </c>
    </row>
    <row r="182" spans="2:12" s="26" customFormat="1" ht="12.75">
      <c r="B182" s="27"/>
      <c r="C182" s="27"/>
      <c r="D182" s="27"/>
      <c r="E182" s="28"/>
      <c r="F182" s="27"/>
      <c r="G182" s="27"/>
      <c r="H182" s="27"/>
      <c r="I182" s="27"/>
      <c r="J182" s="29"/>
      <c r="K182" s="51"/>
      <c r="L182" s="30"/>
    </row>
    <row r="183" spans="1:12" s="17" customFormat="1" ht="12.75" outlineLevel="1">
      <c r="A183" s="17" t="s">
        <v>270</v>
      </c>
      <c r="B183" s="2">
        <v>0</v>
      </c>
      <c r="C183" s="18">
        <v>0</v>
      </c>
      <c r="D183" s="18">
        <f>IF(ISNA(VLOOKUP(LEFT(A183,5),'[2]Agresso Spend 300911'!A:H,6,FALSE)),0,(VLOOKUP(LEFT(A183,5),'[2]Agresso Spend 300911'!A:H,6,FALSE)))</f>
        <v>0</v>
      </c>
      <c r="E183" s="3">
        <v>0</v>
      </c>
      <c r="F183" s="2">
        <f>B183</f>
        <v>0</v>
      </c>
      <c r="G183" s="2">
        <f aca="true" t="shared" si="31" ref="G183:G212">F183-C183</f>
        <v>0</v>
      </c>
      <c r="H183" s="2"/>
      <c r="I183" s="2">
        <f>G183</f>
        <v>0</v>
      </c>
      <c r="J183" s="19" t="s">
        <v>271</v>
      </c>
      <c r="K183" s="46"/>
      <c r="L183" s="5" t="s">
        <v>15</v>
      </c>
    </row>
    <row r="184" spans="1:12" s="17" customFormat="1" ht="12.75" outlineLevel="1">
      <c r="A184" s="17" t="s">
        <v>272</v>
      </c>
      <c r="B184" s="2">
        <v>792074</v>
      </c>
      <c r="C184" s="18">
        <v>792074</v>
      </c>
      <c r="D184" s="18">
        <f>IF(ISNA(VLOOKUP(LEFT(A184,5),'[2]Agresso Spend 300911'!A:H,6,FALSE)),0,(VLOOKUP(LEFT(A184,5),'[2]Agresso Spend 300911'!A:H,6,FALSE)))</f>
        <v>907.61</v>
      </c>
      <c r="E184" s="3">
        <f>D184/C184</f>
        <v>0.0011458651590634209</v>
      </c>
      <c r="F184" s="18">
        <v>40000</v>
      </c>
      <c r="G184" s="2">
        <f t="shared" si="31"/>
        <v>-752074</v>
      </c>
      <c r="H184" s="2">
        <f>G184</f>
        <v>-752074</v>
      </c>
      <c r="I184" s="2"/>
      <c r="J184" s="19" t="s">
        <v>271</v>
      </c>
      <c r="K184" s="46"/>
      <c r="L184" s="5" t="s">
        <v>15</v>
      </c>
    </row>
    <row r="185" spans="1:12" s="17" customFormat="1" ht="38.25" outlineLevel="1">
      <c r="A185" s="17" t="s">
        <v>273</v>
      </c>
      <c r="B185" s="2">
        <v>900000</v>
      </c>
      <c r="C185" s="18">
        <v>1139500</v>
      </c>
      <c r="D185" s="18">
        <f>IF(ISNA(VLOOKUP(LEFT(A185,5),'[2]Agresso Spend 300911'!A:H,6,FALSE)),0,(VLOOKUP(LEFT(A185,5),'[2]Agresso Spend 300911'!A:H,6,FALSE)))</f>
        <v>678104.15</v>
      </c>
      <c r="E185" s="3">
        <f>D185/C185</f>
        <v>0.5950892057920141</v>
      </c>
      <c r="F185" s="18">
        <f>805500+334000</f>
        <v>1139500</v>
      </c>
      <c r="G185" s="2">
        <f t="shared" si="31"/>
        <v>0</v>
      </c>
      <c r="H185" s="2"/>
      <c r="I185" s="2">
        <f aca="true" t="shared" si="32" ref="I185:I212">G185</f>
        <v>0</v>
      </c>
      <c r="J185" s="19" t="s">
        <v>271</v>
      </c>
      <c r="K185" s="46" t="s">
        <v>274</v>
      </c>
      <c r="L185" s="5" t="s">
        <v>15</v>
      </c>
    </row>
    <row r="186" spans="1:12" s="17" customFormat="1" ht="12.75" outlineLevel="1">
      <c r="A186" s="17" t="s">
        <v>275</v>
      </c>
      <c r="B186" s="2"/>
      <c r="C186" s="18"/>
      <c r="D186" s="18">
        <f>IF(ISNA(VLOOKUP(LEFT(A186,5),'[2]Agresso Spend 300911'!A:H,6,FALSE)),0,(VLOOKUP(LEFT(A186,5),'[2]Agresso Spend 300911'!A:H,6,FALSE)))</f>
        <v>0</v>
      </c>
      <c r="E186" s="3">
        <v>0</v>
      </c>
      <c r="F186" s="18">
        <f>B186</f>
        <v>0</v>
      </c>
      <c r="G186" s="2">
        <f t="shared" si="31"/>
        <v>0</v>
      </c>
      <c r="H186" s="2"/>
      <c r="I186" s="2">
        <f t="shared" si="32"/>
        <v>0</v>
      </c>
      <c r="J186" s="19" t="s">
        <v>271</v>
      </c>
      <c r="K186" s="46"/>
      <c r="L186" s="5" t="s">
        <v>15</v>
      </c>
    </row>
    <row r="187" spans="1:12" s="17" customFormat="1" ht="12.75" outlineLevel="1">
      <c r="A187" t="s">
        <v>276</v>
      </c>
      <c r="B187" s="2"/>
      <c r="C187" s="18"/>
      <c r="D187" s="18">
        <f>IF(ISNA(VLOOKUP(LEFT(A187,5),'[2]Agresso Spend 300911'!A:H,6,FALSE)),0,(VLOOKUP(LEFT(A187,5),'[2]Agresso Spend 300911'!A:H,6,FALSE)))</f>
        <v>302.85</v>
      </c>
      <c r="E187" s="3">
        <v>0</v>
      </c>
      <c r="F187" s="18">
        <f>B187</f>
        <v>0</v>
      </c>
      <c r="G187" s="2">
        <f t="shared" si="31"/>
        <v>0</v>
      </c>
      <c r="H187" s="2"/>
      <c r="I187" s="2">
        <f t="shared" si="32"/>
        <v>0</v>
      </c>
      <c r="J187" s="19" t="s">
        <v>271</v>
      </c>
      <c r="K187" s="46"/>
      <c r="L187" s="5"/>
    </row>
    <row r="188" spans="1:12" s="17" customFormat="1" ht="12.75" outlineLevel="1">
      <c r="A188" s="17" t="s">
        <v>277</v>
      </c>
      <c r="B188" s="2">
        <v>100000</v>
      </c>
      <c r="C188" s="18">
        <v>100000</v>
      </c>
      <c r="D188" s="18">
        <f>IF(ISNA(VLOOKUP(LEFT(A188,5),'[2]Agresso Spend 300911'!A:H,6,FALSE)),0,(VLOOKUP(LEFT(A188,5),'[2]Agresso Spend 300911'!A:H,6,FALSE)))</f>
        <v>47810.02</v>
      </c>
      <c r="E188" s="3">
        <f aca="true" t="shared" si="33" ref="E188:E198">D188/C188</f>
        <v>0.4781002</v>
      </c>
      <c r="F188" s="18">
        <f>B188</f>
        <v>100000</v>
      </c>
      <c r="G188" s="2">
        <f t="shared" si="31"/>
        <v>0</v>
      </c>
      <c r="H188" s="2"/>
      <c r="I188" s="2">
        <f t="shared" si="32"/>
        <v>0</v>
      </c>
      <c r="J188" s="19" t="s">
        <v>271</v>
      </c>
      <c r="K188" s="46"/>
      <c r="L188" s="5" t="s">
        <v>15</v>
      </c>
    </row>
    <row r="189" spans="1:12" s="17" customFormat="1" ht="25.5" outlineLevel="1">
      <c r="A189" s="17" t="s">
        <v>278</v>
      </c>
      <c r="B189" s="2">
        <v>297810</v>
      </c>
      <c r="C189" s="18">
        <v>287310</v>
      </c>
      <c r="D189" s="18">
        <f>IF(ISNA(VLOOKUP(LEFT(A189,5),'[2]Agresso Spend 300911'!A:H,6,FALSE)),0,(VLOOKUP(LEFT(A189,5),'[2]Agresso Spend 300911'!A:H,6,FALSE)))</f>
        <v>211675.97</v>
      </c>
      <c r="E189" s="3">
        <f t="shared" si="33"/>
        <v>0.7367511398837493</v>
      </c>
      <c r="F189" s="18">
        <v>287310</v>
      </c>
      <c r="G189" s="2">
        <f t="shared" si="31"/>
        <v>0</v>
      </c>
      <c r="H189" s="2"/>
      <c r="I189" s="2">
        <f t="shared" si="32"/>
        <v>0</v>
      </c>
      <c r="J189" s="19" t="s">
        <v>271</v>
      </c>
      <c r="K189" s="46" t="s">
        <v>279</v>
      </c>
      <c r="L189" s="5" t="s">
        <v>15</v>
      </c>
    </row>
    <row r="190" spans="1:12" s="17" customFormat="1" ht="12.75" outlineLevel="1">
      <c r="A190" s="17" t="s">
        <v>280</v>
      </c>
      <c r="B190" s="2">
        <v>900000</v>
      </c>
      <c r="C190" s="18">
        <v>900000</v>
      </c>
      <c r="D190" s="18">
        <f>IF(ISNA(VLOOKUP(LEFT(A190,5),'[2]Agresso Spend 300911'!A:H,6,FALSE)),0,(VLOOKUP(LEFT(A190,5),'[2]Agresso Spend 300911'!A:H,6,FALSE)))</f>
        <v>458711.86</v>
      </c>
      <c r="E190" s="3">
        <f t="shared" si="33"/>
        <v>0.5096798444444445</v>
      </c>
      <c r="F190" s="18">
        <f>805500+94500</f>
        <v>900000</v>
      </c>
      <c r="G190" s="2">
        <f t="shared" si="31"/>
        <v>0</v>
      </c>
      <c r="H190" s="2"/>
      <c r="I190" s="2">
        <f t="shared" si="32"/>
        <v>0</v>
      </c>
      <c r="J190" s="19" t="s">
        <v>271</v>
      </c>
      <c r="K190" s="46"/>
      <c r="L190" s="5" t="s">
        <v>15</v>
      </c>
    </row>
    <row r="191" spans="1:12" s="17" customFormat="1" ht="12.75" outlineLevel="1">
      <c r="A191" s="17" t="s">
        <v>281</v>
      </c>
      <c r="B191" s="2">
        <v>100000</v>
      </c>
      <c r="C191" s="18">
        <v>100000</v>
      </c>
      <c r="D191" s="18">
        <f>IF(ISNA(VLOOKUP(LEFT(A191,5),'[2]Agresso Spend 300911'!A:H,6,FALSE)),0,(VLOOKUP(LEFT(A191,5),'[2]Agresso Spend 300911'!A:H,6,FALSE)))</f>
        <v>39872.94</v>
      </c>
      <c r="E191" s="3">
        <f t="shared" si="33"/>
        <v>0.3987294</v>
      </c>
      <c r="F191" s="18">
        <f>B191</f>
        <v>100000</v>
      </c>
      <c r="G191" s="2">
        <f t="shared" si="31"/>
        <v>0</v>
      </c>
      <c r="H191" s="2"/>
      <c r="I191" s="2">
        <f t="shared" si="32"/>
        <v>0</v>
      </c>
      <c r="J191" s="19" t="s">
        <v>271</v>
      </c>
      <c r="K191" s="46"/>
      <c r="L191" s="5" t="s">
        <v>15</v>
      </c>
    </row>
    <row r="192" spans="1:12" s="17" customFormat="1" ht="25.5" outlineLevel="1">
      <c r="A192" s="17" t="s">
        <v>282</v>
      </c>
      <c r="B192" s="2">
        <v>3500000</v>
      </c>
      <c r="C192" s="18">
        <v>3126500</v>
      </c>
      <c r="D192" s="18">
        <f>IF(ISNA(VLOOKUP(LEFT(A192,5),'[2]Agresso Spend 300911'!A:H,6,FALSE)),0,(VLOOKUP(LEFT(A192,5),'[2]Agresso Spend 300911'!A:H,6,FALSE)))</f>
        <v>1458212.81</v>
      </c>
      <c r="E192" s="3">
        <f t="shared" si="33"/>
        <v>0.4664042251719175</v>
      </c>
      <c r="F192" s="18">
        <v>3126500</v>
      </c>
      <c r="G192" s="2">
        <f t="shared" si="31"/>
        <v>0</v>
      </c>
      <c r="H192" s="2"/>
      <c r="I192" s="2">
        <f t="shared" si="32"/>
        <v>0</v>
      </c>
      <c r="J192" s="19" t="s">
        <v>271</v>
      </c>
      <c r="K192" s="46" t="s">
        <v>283</v>
      </c>
      <c r="L192" s="5" t="s">
        <v>15</v>
      </c>
    </row>
    <row r="193" spans="1:12" s="17" customFormat="1" ht="25.5" outlineLevel="1">
      <c r="A193" s="17" t="s">
        <v>284</v>
      </c>
      <c r="B193" s="2">
        <v>1000000</v>
      </c>
      <c r="C193" s="18">
        <v>1239500</v>
      </c>
      <c r="D193" s="18">
        <f>IF(ISNA(VLOOKUP(LEFT(A193,5),'[2]Agresso Spend 300911'!A:H,6,FALSE)),0,(VLOOKUP(LEFT(A193,5),'[2]Agresso Spend 300911'!A:H,6,FALSE)))</f>
        <v>781274.42</v>
      </c>
      <c r="E193" s="3">
        <f t="shared" si="33"/>
        <v>0.6303141750705931</v>
      </c>
      <c r="F193" s="18">
        <f>895000+344500</f>
        <v>1239500</v>
      </c>
      <c r="G193" s="2">
        <f t="shared" si="31"/>
        <v>0</v>
      </c>
      <c r="H193" s="2"/>
      <c r="I193" s="2">
        <f t="shared" si="32"/>
        <v>0</v>
      </c>
      <c r="J193" s="19" t="s">
        <v>271</v>
      </c>
      <c r="K193" s="46" t="s">
        <v>285</v>
      </c>
      <c r="L193" s="5" t="s">
        <v>15</v>
      </c>
    </row>
    <row r="194" spans="1:12" s="17" customFormat="1" ht="25.5" outlineLevel="1">
      <c r="A194" s="17" t="s">
        <v>286</v>
      </c>
      <c r="B194" s="2">
        <v>200000</v>
      </c>
      <c r="C194" s="18">
        <v>200000</v>
      </c>
      <c r="D194" s="18">
        <f>IF(ISNA(VLOOKUP(LEFT(A194,5),'[2]Agresso Spend 300911'!A:H,6,FALSE)),0,(VLOOKUP(LEFT(A194,5),'[2]Agresso Spend 300911'!A:H,6,FALSE)))</f>
        <v>89.72</v>
      </c>
      <c r="E194" s="3">
        <f t="shared" si="33"/>
        <v>0.0004486</v>
      </c>
      <c r="F194" s="18">
        <f>B194</f>
        <v>200000</v>
      </c>
      <c r="G194" s="2">
        <f t="shared" si="31"/>
        <v>0</v>
      </c>
      <c r="H194" s="2"/>
      <c r="I194" s="2">
        <f t="shared" si="32"/>
        <v>0</v>
      </c>
      <c r="J194" s="19" t="s">
        <v>271</v>
      </c>
      <c r="K194" s="46" t="s">
        <v>287</v>
      </c>
      <c r="L194" s="5" t="s">
        <v>15</v>
      </c>
    </row>
    <row r="195" spans="1:12" s="17" customFormat="1" ht="12.75" outlineLevel="1">
      <c r="A195" s="17" t="s">
        <v>288</v>
      </c>
      <c r="B195" s="2">
        <v>200000</v>
      </c>
      <c r="C195" s="18">
        <v>200000</v>
      </c>
      <c r="D195" s="18">
        <f>IF(ISNA(VLOOKUP(LEFT(A195,5),'[2]Agresso Spend 300911'!A:H,6,FALSE)),0,(VLOOKUP(LEFT(A195,5),'[2]Agresso Spend 300911'!A:H,6,FALSE)))</f>
        <v>1421.74</v>
      </c>
      <c r="E195" s="3">
        <f t="shared" si="33"/>
        <v>0.0071087</v>
      </c>
      <c r="F195" s="18">
        <f>B195</f>
        <v>200000</v>
      </c>
      <c r="G195" s="2">
        <f t="shared" si="31"/>
        <v>0</v>
      </c>
      <c r="H195" s="2"/>
      <c r="I195" s="2">
        <f t="shared" si="32"/>
        <v>0</v>
      </c>
      <c r="J195" s="19" t="s">
        <v>271</v>
      </c>
      <c r="K195" s="46" t="s">
        <v>289</v>
      </c>
      <c r="L195" s="5" t="s">
        <v>15</v>
      </c>
    </row>
    <row r="196" spans="1:12" s="17" customFormat="1" ht="12.75" outlineLevel="1">
      <c r="A196" s="17" t="s">
        <v>290</v>
      </c>
      <c r="B196" s="2">
        <v>900000</v>
      </c>
      <c r="C196" s="18">
        <v>900000</v>
      </c>
      <c r="D196" s="18">
        <f>IF(ISNA(VLOOKUP(LEFT(A196,5),'[2]Agresso Spend 300911'!A:H,6,FALSE)),0,(VLOOKUP(LEFT(A196,5),'[2]Agresso Spend 300911'!A:H,6,FALSE)))</f>
        <v>181346.65</v>
      </c>
      <c r="E196" s="3">
        <f t="shared" si="33"/>
        <v>0.20149627777777776</v>
      </c>
      <c r="F196" s="18">
        <v>900000</v>
      </c>
      <c r="G196" s="2">
        <f t="shared" si="31"/>
        <v>0</v>
      </c>
      <c r="H196" s="2"/>
      <c r="I196" s="2">
        <f t="shared" si="32"/>
        <v>0</v>
      </c>
      <c r="J196" s="19" t="s">
        <v>271</v>
      </c>
      <c r="K196" s="46"/>
      <c r="L196" s="5" t="s">
        <v>15</v>
      </c>
    </row>
    <row r="197" spans="1:12" s="17" customFormat="1" ht="12.75" outlineLevel="1">
      <c r="A197" s="17" t="s">
        <v>291</v>
      </c>
      <c r="B197" s="2">
        <v>200000</v>
      </c>
      <c r="C197" s="18">
        <v>179000</v>
      </c>
      <c r="D197" s="18">
        <f>IF(ISNA(VLOOKUP(LEFT(A197,5),'[2]Agresso Spend 300911'!A:H,6,FALSE)),0,(VLOOKUP(LEFT(A197,5),'[2]Agresso Spend 300911'!A:H,6,FALSE)))</f>
        <v>12109.42</v>
      </c>
      <c r="E197" s="3">
        <f t="shared" si="33"/>
        <v>0.06765039106145251</v>
      </c>
      <c r="F197" s="18">
        <v>179000</v>
      </c>
      <c r="G197" s="2">
        <f t="shared" si="31"/>
        <v>0</v>
      </c>
      <c r="H197" s="2"/>
      <c r="I197" s="2">
        <f t="shared" si="32"/>
        <v>0</v>
      </c>
      <c r="J197" s="19" t="s">
        <v>271</v>
      </c>
      <c r="K197" s="46"/>
      <c r="L197" s="5" t="s">
        <v>15</v>
      </c>
    </row>
    <row r="198" spans="1:12" s="17" customFormat="1" ht="12.75" outlineLevel="1">
      <c r="A198" s="17" t="s">
        <v>292</v>
      </c>
      <c r="B198" s="2">
        <v>210000</v>
      </c>
      <c r="C198" s="18">
        <v>189000</v>
      </c>
      <c r="D198" s="18">
        <f>IF(ISNA(VLOOKUP(LEFT(A198,5),'[2]Agresso Spend 300911'!A:H,6,FALSE)),0,(VLOOKUP(LEFT(A198,5),'[2]Agresso Spend 300911'!A:H,6,FALSE)))</f>
        <v>0</v>
      </c>
      <c r="E198" s="3">
        <f t="shared" si="33"/>
        <v>0</v>
      </c>
      <c r="F198" s="18">
        <v>60000</v>
      </c>
      <c r="G198" s="2">
        <f t="shared" si="31"/>
        <v>-129000</v>
      </c>
      <c r="H198" s="2"/>
      <c r="I198" s="2">
        <f t="shared" si="32"/>
        <v>-129000</v>
      </c>
      <c r="J198" s="19" t="s">
        <v>271</v>
      </c>
      <c r="K198" s="46"/>
      <c r="L198" s="5" t="s">
        <v>15</v>
      </c>
    </row>
    <row r="199" spans="1:12" s="17" customFormat="1" ht="12.75" outlineLevel="1">
      <c r="A199" s="17" t="s">
        <v>293</v>
      </c>
      <c r="B199" s="2"/>
      <c r="C199" s="18">
        <v>0</v>
      </c>
      <c r="D199" s="18">
        <f>IF(ISNA(VLOOKUP(LEFT(A199,5),'[2]Agresso Spend 300911'!A:H,6,FALSE)),0,(VLOOKUP(LEFT(A199,5),'[2]Agresso Spend 300911'!A:H,6,FALSE)))</f>
        <v>0</v>
      </c>
      <c r="E199" s="3">
        <v>0</v>
      </c>
      <c r="F199" s="18">
        <v>0</v>
      </c>
      <c r="G199" s="2">
        <f t="shared" si="31"/>
        <v>0</v>
      </c>
      <c r="H199" s="2"/>
      <c r="I199" s="2">
        <f t="shared" si="32"/>
        <v>0</v>
      </c>
      <c r="J199" s="19" t="s">
        <v>271</v>
      </c>
      <c r="K199" s="46"/>
      <c r="L199" s="5" t="s">
        <v>15</v>
      </c>
    </row>
    <row r="200" spans="1:12" s="17" customFormat="1" ht="12.75" outlineLevel="1">
      <c r="A200" s="17" t="s">
        <v>294</v>
      </c>
      <c r="B200" s="2">
        <v>200000</v>
      </c>
      <c r="C200" s="18">
        <v>179000</v>
      </c>
      <c r="D200" s="18">
        <f>IF(ISNA(VLOOKUP(LEFT(A200,5),'[2]Agresso Spend 300911'!A:H,6,FALSE)),0,(VLOOKUP(LEFT(A200,5),'[2]Agresso Spend 300911'!A:H,6,FALSE)))</f>
        <v>0</v>
      </c>
      <c r="E200" s="3">
        <f>D200/C200</f>
        <v>0</v>
      </c>
      <c r="F200" s="18">
        <v>179000</v>
      </c>
      <c r="G200" s="2">
        <f t="shared" si="31"/>
        <v>0</v>
      </c>
      <c r="H200" s="2"/>
      <c r="I200" s="2">
        <f t="shared" si="32"/>
        <v>0</v>
      </c>
      <c r="J200" s="19" t="s">
        <v>271</v>
      </c>
      <c r="K200" s="46"/>
      <c r="L200" s="5" t="s">
        <v>15</v>
      </c>
    </row>
    <row r="201" spans="1:12" s="17" customFormat="1" ht="12.75" outlineLevel="1">
      <c r="A201" s="17" t="s">
        <v>295</v>
      </c>
      <c r="B201" s="2">
        <v>0</v>
      </c>
      <c r="C201" s="18">
        <v>0</v>
      </c>
      <c r="D201" s="18">
        <f>IF(ISNA(VLOOKUP(LEFT(A201,5),'[2]Agresso Spend 300911'!A:H,6,FALSE)),0,(VLOOKUP(LEFT(A201,5),'[2]Agresso Spend 300911'!A:H,6,FALSE)))</f>
        <v>8720.25</v>
      </c>
      <c r="E201" s="3">
        <v>0</v>
      </c>
      <c r="F201" s="18">
        <f>B201</f>
        <v>0</v>
      </c>
      <c r="G201" s="2">
        <f t="shared" si="31"/>
        <v>0</v>
      </c>
      <c r="H201" s="2"/>
      <c r="I201" s="2">
        <f t="shared" si="32"/>
        <v>0</v>
      </c>
      <c r="J201" s="19" t="s">
        <v>271</v>
      </c>
      <c r="K201" s="46"/>
      <c r="L201" s="5" t="s">
        <v>15</v>
      </c>
    </row>
    <row r="202" spans="1:12" s="17" customFormat="1" ht="12.75" outlineLevel="1">
      <c r="A202" s="17" t="s">
        <v>296</v>
      </c>
      <c r="B202" s="2">
        <v>0</v>
      </c>
      <c r="C202" s="18">
        <v>0</v>
      </c>
      <c r="D202" s="18">
        <f>IF(ISNA(VLOOKUP(LEFT(A202,5),'[2]Agresso Spend 300911'!A:H,6,FALSE)),0,(VLOOKUP(LEFT(A202,5),'[2]Agresso Spend 300911'!A:H,6,FALSE)))</f>
        <v>0</v>
      </c>
      <c r="E202" s="3">
        <v>0</v>
      </c>
      <c r="F202" s="18">
        <f>B202</f>
        <v>0</v>
      </c>
      <c r="G202" s="2">
        <f t="shared" si="31"/>
        <v>0</v>
      </c>
      <c r="H202" s="2"/>
      <c r="I202" s="2">
        <f t="shared" si="32"/>
        <v>0</v>
      </c>
      <c r="J202" s="19" t="s">
        <v>271</v>
      </c>
      <c r="K202" s="46"/>
      <c r="L202" s="5" t="s">
        <v>15</v>
      </c>
    </row>
    <row r="203" spans="1:12" s="17" customFormat="1" ht="12.75" outlineLevel="1">
      <c r="A203" s="17" t="s">
        <v>297</v>
      </c>
      <c r="B203" s="2">
        <v>0</v>
      </c>
      <c r="C203" s="2">
        <v>0</v>
      </c>
      <c r="D203" s="18">
        <f>IF(ISNA(VLOOKUP(LEFT(A203,5),'[2]Agresso Spend 300911'!A:H,6,FALSE)),0,(VLOOKUP(LEFT(A203,5),'[2]Agresso Spend 300911'!A:H,6,FALSE)))</f>
        <v>0</v>
      </c>
      <c r="E203" s="3">
        <v>0</v>
      </c>
      <c r="F203" s="18">
        <f>B203</f>
        <v>0</v>
      </c>
      <c r="G203" s="2">
        <f t="shared" si="31"/>
        <v>0</v>
      </c>
      <c r="H203" s="2"/>
      <c r="I203" s="2">
        <f t="shared" si="32"/>
        <v>0</v>
      </c>
      <c r="J203" s="19" t="s">
        <v>271</v>
      </c>
      <c r="K203" s="46"/>
      <c r="L203" s="5" t="s">
        <v>15</v>
      </c>
    </row>
    <row r="204" spans="1:12" s="17" customFormat="1" ht="12.75" outlineLevel="1">
      <c r="A204" s="17" t="s">
        <v>298</v>
      </c>
      <c r="B204" s="2">
        <v>0</v>
      </c>
      <c r="C204" s="2">
        <v>0</v>
      </c>
      <c r="D204" s="18">
        <f>IF(ISNA(VLOOKUP(LEFT(A204,5),'[2]Agresso Spend 300911'!A:H,6,FALSE)),0,(VLOOKUP(LEFT(A204,5),'[2]Agresso Spend 300911'!A:H,6,FALSE)))</f>
        <v>1179.13</v>
      </c>
      <c r="E204" s="3">
        <v>0</v>
      </c>
      <c r="F204" s="18">
        <f>B204</f>
        <v>0</v>
      </c>
      <c r="G204" s="2">
        <f t="shared" si="31"/>
        <v>0</v>
      </c>
      <c r="H204" s="2"/>
      <c r="I204" s="2">
        <f t="shared" si="32"/>
        <v>0</v>
      </c>
      <c r="J204" s="19" t="s">
        <v>271</v>
      </c>
      <c r="K204" s="46"/>
      <c r="L204" s="5" t="s">
        <v>15</v>
      </c>
    </row>
    <row r="205" spans="1:12" s="17" customFormat="1" ht="12.75" outlineLevel="1">
      <c r="A205" s="17" t="s">
        <v>299</v>
      </c>
      <c r="B205" s="2">
        <v>0</v>
      </c>
      <c r="C205" s="2">
        <v>0</v>
      </c>
      <c r="D205" s="18">
        <f>IF(ISNA(VLOOKUP(LEFT(A205,5),'[2]Agresso Spend 300911'!A:H,6,FALSE)),0,(VLOOKUP(LEFT(A205,5),'[2]Agresso Spend 300911'!A:H,6,FALSE)))</f>
        <v>1532.26</v>
      </c>
      <c r="E205" s="3">
        <v>0</v>
      </c>
      <c r="F205" s="18">
        <f>B205</f>
        <v>0</v>
      </c>
      <c r="G205" s="2">
        <f t="shared" si="31"/>
        <v>0</v>
      </c>
      <c r="H205" s="2"/>
      <c r="I205" s="2">
        <f t="shared" si="32"/>
        <v>0</v>
      </c>
      <c r="J205" s="19" t="s">
        <v>271</v>
      </c>
      <c r="K205" s="46"/>
      <c r="L205" s="5" t="s">
        <v>15</v>
      </c>
    </row>
    <row r="206" spans="1:12" s="17" customFormat="1" ht="12.75" outlineLevel="1">
      <c r="A206" s="17" t="s">
        <v>300</v>
      </c>
      <c r="B206" s="2">
        <v>1601000</v>
      </c>
      <c r="C206" s="2">
        <v>350000</v>
      </c>
      <c r="D206" s="18">
        <f>IF(ISNA(VLOOKUP(LEFT(A206,5),'[2]Agresso Spend 300911'!A:H,6,FALSE)),0,(VLOOKUP(LEFT(A206,5),'[2]Agresso Spend 300911'!A:H,6,FALSE)))</f>
        <v>420155.55</v>
      </c>
      <c r="E206" s="3">
        <f>D206/C206</f>
        <v>1.2004444285714286</v>
      </c>
      <c r="F206" s="18">
        <f>D206</f>
        <v>420155.55</v>
      </c>
      <c r="G206" s="2">
        <f t="shared" si="31"/>
        <v>70155.54999999999</v>
      </c>
      <c r="H206" s="2"/>
      <c r="I206" s="2">
        <f t="shared" si="32"/>
        <v>70155.54999999999</v>
      </c>
      <c r="J206" s="19" t="s">
        <v>271</v>
      </c>
      <c r="K206" s="46" t="s">
        <v>301</v>
      </c>
      <c r="L206" s="5" t="s">
        <v>15</v>
      </c>
    </row>
    <row r="207" spans="1:12" s="17" customFormat="1" ht="12.75" outlineLevel="1">
      <c r="A207" s="17" t="s">
        <v>302</v>
      </c>
      <c r="B207" s="2">
        <v>0</v>
      </c>
      <c r="C207" s="2">
        <v>0</v>
      </c>
      <c r="D207" s="18">
        <f>IF(ISNA(VLOOKUP(LEFT(A207,5),'[2]Agresso Spend 300911'!A:H,6,FALSE)),0,(VLOOKUP(LEFT(A207,5),'[2]Agresso Spend 300911'!A:H,6,FALSE)))</f>
        <v>121</v>
      </c>
      <c r="E207" s="3">
        <v>0</v>
      </c>
      <c r="F207" s="18">
        <v>129000</v>
      </c>
      <c r="G207" s="2">
        <f t="shared" si="31"/>
        <v>129000</v>
      </c>
      <c r="H207" s="2"/>
      <c r="I207" s="2">
        <f t="shared" si="32"/>
        <v>129000</v>
      </c>
      <c r="J207" s="19" t="s">
        <v>271</v>
      </c>
      <c r="K207" s="46"/>
      <c r="L207" s="5" t="s">
        <v>15</v>
      </c>
    </row>
    <row r="208" spans="1:12" s="17" customFormat="1" ht="12.75" outlineLevel="1">
      <c r="A208" s="17" t="s">
        <v>303</v>
      </c>
      <c r="B208" s="2">
        <v>0</v>
      </c>
      <c r="C208" s="2">
        <v>0</v>
      </c>
      <c r="D208" s="18">
        <f>IF(ISNA(VLOOKUP(LEFT(A208,5),'[2]Agresso Spend 300911'!A:H,6,FALSE)),0,(VLOOKUP(LEFT(A208,5),'[2]Agresso Spend 300911'!A:H,6,FALSE)))</f>
        <v>0</v>
      </c>
      <c r="E208" s="3">
        <v>0</v>
      </c>
      <c r="F208" s="18">
        <f>B208</f>
        <v>0</v>
      </c>
      <c r="G208" s="2">
        <f t="shared" si="31"/>
        <v>0</v>
      </c>
      <c r="H208" s="2"/>
      <c r="I208" s="2">
        <f t="shared" si="32"/>
        <v>0</v>
      </c>
      <c r="J208" s="19" t="s">
        <v>271</v>
      </c>
      <c r="K208" s="46"/>
      <c r="L208" s="5" t="s">
        <v>15</v>
      </c>
    </row>
    <row r="209" spans="1:12" s="17" customFormat="1" ht="12.75" outlineLevel="1">
      <c r="A209" s="17" t="s">
        <v>304</v>
      </c>
      <c r="B209" s="2">
        <v>0</v>
      </c>
      <c r="C209" s="2">
        <v>0</v>
      </c>
      <c r="D209" s="18">
        <f>IF(ISNA(VLOOKUP(LEFT(A209,5),'[2]Agresso Spend 300911'!A:H,6,FALSE)),0,(VLOOKUP(LEFT(A209,5),'[2]Agresso Spend 300911'!A:H,6,FALSE)))</f>
        <v>0</v>
      </c>
      <c r="E209" s="3">
        <v>0</v>
      </c>
      <c r="F209" s="18">
        <f>B209</f>
        <v>0</v>
      </c>
      <c r="G209" s="2">
        <f t="shared" si="31"/>
        <v>0</v>
      </c>
      <c r="H209" s="2"/>
      <c r="I209" s="2">
        <f t="shared" si="32"/>
        <v>0</v>
      </c>
      <c r="J209" s="19" t="s">
        <v>271</v>
      </c>
      <c r="K209" s="46"/>
      <c r="L209" s="5" t="s">
        <v>15</v>
      </c>
    </row>
    <row r="210" spans="1:12" s="17" customFormat="1" ht="12.75" outlineLevel="1">
      <c r="A210" s="17" t="s">
        <v>305</v>
      </c>
      <c r="B210" s="2">
        <v>100000</v>
      </c>
      <c r="C210" s="2">
        <v>100000</v>
      </c>
      <c r="D210" s="18">
        <f>IF(ISNA(VLOOKUP(LEFT(A210,5),'[2]Agresso Spend 300911'!A:H,6,FALSE)),0,(VLOOKUP(LEFT(A210,5),'[2]Agresso Spend 300911'!A:H,6,FALSE)))</f>
        <v>17260.73</v>
      </c>
      <c r="E210" s="3">
        <f>D210/C210</f>
        <v>0.1726073</v>
      </c>
      <c r="F210" s="18">
        <f>100000-17000</f>
        <v>83000</v>
      </c>
      <c r="G210" s="2">
        <f t="shared" si="31"/>
        <v>-17000</v>
      </c>
      <c r="H210" s="2"/>
      <c r="I210" s="2">
        <f t="shared" si="32"/>
        <v>-17000</v>
      </c>
      <c r="J210" s="19" t="s">
        <v>271</v>
      </c>
      <c r="K210" s="46"/>
      <c r="L210" s="5" t="s">
        <v>15</v>
      </c>
    </row>
    <row r="211" spans="1:12" s="17" customFormat="1" ht="12.75" outlineLevel="1">
      <c r="A211" s="17" t="s">
        <v>306</v>
      </c>
      <c r="B211" s="2"/>
      <c r="C211" s="2"/>
      <c r="D211" s="18">
        <f>IF(ISNA(VLOOKUP(LEFT(A211,5),'[2]Agresso Spend 300911'!A:H,6,FALSE)),0,(VLOOKUP(LEFT(A211,5),'[2]Agresso Spend 300911'!A:H,6,FALSE)))</f>
        <v>1982.2</v>
      </c>
      <c r="E211" s="3">
        <v>0</v>
      </c>
      <c r="F211" s="18">
        <v>17000</v>
      </c>
      <c r="G211" s="2">
        <f t="shared" si="31"/>
        <v>17000</v>
      </c>
      <c r="H211" s="2"/>
      <c r="I211" s="2">
        <f t="shared" si="32"/>
        <v>17000</v>
      </c>
      <c r="J211" s="19" t="s">
        <v>271</v>
      </c>
      <c r="K211" s="46" t="s">
        <v>307</v>
      </c>
      <c r="L211" s="5" t="s">
        <v>15</v>
      </c>
    </row>
    <row r="212" spans="1:12" s="17" customFormat="1" ht="12.75" outlineLevel="1">
      <c r="A212" s="17" t="s">
        <v>308</v>
      </c>
      <c r="B212" s="2">
        <v>0</v>
      </c>
      <c r="C212" s="2">
        <v>0</v>
      </c>
      <c r="D212" s="18">
        <f>IF(ISNA(VLOOKUP(LEFT(A212,5),'[2]Agresso Spend 300911'!A:H,6,FALSE)),0,(VLOOKUP(LEFT(A212,5),'[2]Agresso Spend 300911'!A:H,6,FALSE)))</f>
        <v>107995.42</v>
      </c>
      <c r="E212" s="3">
        <v>0</v>
      </c>
      <c r="F212" s="18">
        <v>108000</v>
      </c>
      <c r="G212" s="2">
        <f t="shared" si="31"/>
        <v>108000</v>
      </c>
      <c r="H212" s="2"/>
      <c r="I212" s="2">
        <f t="shared" si="32"/>
        <v>108000</v>
      </c>
      <c r="J212" s="19" t="s">
        <v>271</v>
      </c>
      <c r="K212" s="46" t="s">
        <v>301</v>
      </c>
      <c r="L212" s="5" t="s">
        <v>15</v>
      </c>
    </row>
    <row r="213" spans="2:12" s="17" customFormat="1" ht="12.75" outlineLevel="1">
      <c r="B213" s="2"/>
      <c r="C213" s="2"/>
      <c r="D213" s="18"/>
      <c r="E213" s="3"/>
      <c r="F213" s="2"/>
      <c r="G213" s="2"/>
      <c r="H213" s="2"/>
      <c r="I213" s="2"/>
      <c r="J213" s="19"/>
      <c r="K213" s="46"/>
      <c r="L213" s="5"/>
    </row>
    <row r="214" spans="1:12" s="25" customFormat="1" ht="12.75">
      <c r="A214" s="21" t="s">
        <v>309</v>
      </c>
      <c r="B214" s="22">
        <v>11200884</v>
      </c>
      <c r="C214" s="22">
        <v>9981884</v>
      </c>
      <c r="D214" s="22">
        <f>SUM(D183:D212)</f>
        <v>4430786.7</v>
      </c>
      <c r="E214" s="23">
        <f>D214/C214</f>
        <v>0.4438828080951452</v>
      </c>
      <c r="F214" s="22">
        <f>SUM(F183:F212)</f>
        <v>9407965.55</v>
      </c>
      <c r="G214" s="22">
        <f>SUM(G183:G212)</f>
        <v>-573918.45</v>
      </c>
      <c r="H214" s="22">
        <f>SUM(H183:H212)</f>
        <v>-752074</v>
      </c>
      <c r="I214" s="22">
        <f>SUM(I183:I212)</f>
        <v>178155.55</v>
      </c>
      <c r="J214" s="24"/>
      <c r="K214" s="50"/>
      <c r="L214" s="5" t="s">
        <v>15</v>
      </c>
    </row>
    <row r="215" spans="10:12" ht="12.75">
      <c r="J215" s="33"/>
      <c r="K215" s="52"/>
      <c r="L215" s="5" t="s">
        <v>15</v>
      </c>
    </row>
    <row r="216" spans="1:12" s="25" customFormat="1" ht="12.75">
      <c r="A216" s="21" t="s">
        <v>310</v>
      </c>
      <c r="B216" s="22">
        <v>32204319.55</v>
      </c>
      <c r="C216" s="22">
        <f>+C214+C181</f>
        <v>33589997.06</v>
      </c>
      <c r="D216" s="22">
        <f>+D214+D181</f>
        <v>9928867.72</v>
      </c>
      <c r="E216" s="23">
        <f>D216/C216</f>
        <v>0.29559001455893547</v>
      </c>
      <c r="F216" s="22">
        <f>+F214+F181</f>
        <v>24800974.55</v>
      </c>
      <c r="G216" s="22">
        <f>+G214+G181</f>
        <v>-8689022.51</v>
      </c>
      <c r="H216" s="22">
        <f>+H214+H181</f>
        <v>-7809583.0600000005</v>
      </c>
      <c r="I216" s="22">
        <f>+I214+I181</f>
        <v>-879439.45</v>
      </c>
      <c r="J216" s="24"/>
      <c r="K216" s="50"/>
      <c r="L216" s="5" t="s">
        <v>15</v>
      </c>
    </row>
    <row r="217" ht="12.75">
      <c r="L217" s="5" t="s">
        <v>15</v>
      </c>
    </row>
    <row r="218" ht="12.75">
      <c r="L218" s="5" t="s">
        <v>15</v>
      </c>
    </row>
    <row r="231" ht="12.75" outlineLevel="1"/>
    <row r="232" ht="12.75" outlineLevel="1"/>
  </sheetData>
  <printOptions/>
  <pageMargins left="0.26" right="0.18" top="0.49" bottom="0.54" header="0.5" footer="0.5"/>
  <pageSetup fitToHeight="10" horizontalDpi="600" verticalDpi="600" orientation="landscape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B Sept 2011 Monitoring Report</dc:title>
  <dc:subject/>
  <dc:creator>Oxford City Council</dc:creator>
  <cp:keywords>Council meetings;Government, politics and public administration; Local government; Decision making; Council meetings;</cp:keywords>
  <dc:description/>
  <cp:lastModifiedBy>wreed</cp:lastModifiedBy>
  <cp:lastPrinted>2011-10-29T10:57:02Z</cp:lastPrinted>
  <dcterms:created xsi:type="dcterms:W3CDTF">2011-10-28T09:08:10Z</dcterms:created>
  <dcterms:modified xsi:type="dcterms:W3CDTF">2011-11-28T12:39:05Z</dcterms:modified>
  <cp:category/>
  <cp:version/>
  <cp:contentType/>
  <cp:contentStatus/>
</cp:coreProperties>
</file>